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uyufei/Desktop/"/>
    </mc:Choice>
  </mc:AlternateContent>
  <xr:revisionPtr revIDLastSave="0" documentId="13_ncr:1_{16E480F3-B2F3-D640-A225-5D8BA8FB1C3B}" xr6:coauthVersionLast="46" xr6:coauthVersionMax="46" xr10:uidLastSave="{00000000-0000-0000-0000-000000000000}"/>
  <bookViews>
    <workbookView xWindow="-160" yWindow="-19420" windowWidth="27840" windowHeight="15480" activeTab="1" xr2:uid="{01D92466-D91E-8545-BFCD-0007877B65F3}"/>
  </bookViews>
  <sheets>
    <sheet name="使用说明" sheetId="2" r:id="rId1"/>
    <sheet name="海底捞model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69" i="1" l="1"/>
  <c r="AB469" i="1"/>
  <c r="Z469" i="1"/>
  <c r="J469" i="1"/>
  <c r="H469" i="1"/>
  <c r="G469" i="1"/>
  <c r="AD468" i="1"/>
  <c r="AB468" i="1"/>
  <c r="Z468" i="1"/>
  <c r="J468" i="1"/>
  <c r="H468" i="1"/>
  <c r="G468" i="1"/>
  <c r="AD467" i="1"/>
  <c r="AB467" i="1"/>
  <c r="Z467" i="1"/>
  <c r="J467" i="1"/>
  <c r="H467" i="1"/>
  <c r="G467" i="1"/>
  <c r="AD466" i="1"/>
  <c r="AB466" i="1"/>
  <c r="Z466" i="1"/>
  <c r="J466" i="1"/>
  <c r="H466" i="1"/>
  <c r="G466" i="1"/>
  <c r="AD463" i="1"/>
  <c r="AB463" i="1"/>
  <c r="Z463" i="1"/>
  <c r="J463" i="1"/>
  <c r="I463" i="1"/>
  <c r="H463" i="1"/>
  <c r="G463" i="1"/>
  <c r="AD462" i="1"/>
  <c r="AB462" i="1"/>
  <c r="Z462" i="1"/>
  <c r="J462" i="1"/>
  <c r="I462" i="1"/>
  <c r="H462" i="1"/>
  <c r="G462" i="1"/>
  <c r="AD461" i="1"/>
  <c r="AB461" i="1"/>
  <c r="Z461" i="1"/>
  <c r="J461" i="1"/>
  <c r="I461" i="1"/>
  <c r="H461" i="1"/>
  <c r="G461" i="1"/>
  <c r="AD460" i="1"/>
  <c r="AB460" i="1"/>
  <c r="Z460" i="1"/>
  <c r="J460" i="1"/>
  <c r="I460" i="1"/>
  <c r="H460" i="1"/>
  <c r="G460" i="1"/>
  <c r="J459" i="1"/>
  <c r="I459" i="1"/>
  <c r="J450" i="1"/>
  <c r="I450" i="1"/>
  <c r="H450" i="1"/>
  <c r="G450" i="1"/>
  <c r="J449" i="1"/>
  <c r="I449" i="1"/>
  <c r="H449" i="1"/>
  <c r="G449" i="1"/>
  <c r="J448" i="1"/>
  <c r="I448" i="1"/>
  <c r="H448" i="1"/>
  <c r="H446" i="1" s="1"/>
  <c r="G448" i="1"/>
  <c r="G446" i="1" s="1"/>
  <c r="J447" i="1"/>
  <c r="J446" i="1" s="1"/>
  <c r="I447" i="1"/>
  <c r="I446" i="1" s="1"/>
  <c r="H447" i="1"/>
  <c r="G447" i="1"/>
  <c r="J440" i="1"/>
  <c r="I440" i="1"/>
  <c r="AB434" i="1"/>
  <c r="AB459" i="1" s="1"/>
  <c r="Z434" i="1"/>
  <c r="Z459" i="1" s="1"/>
  <c r="J434" i="1"/>
  <c r="I434" i="1"/>
  <c r="H434" i="1"/>
  <c r="G434" i="1"/>
  <c r="J425" i="1"/>
  <c r="I425" i="1"/>
  <c r="H425" i="1"/>
  <c r="G425" i="1"/>
  <c r="J424" i="1"/>
  <c r="I424" i="1"/>
  <c r="H424" i="1"/>
  <c r="G424" i="1"/>
  <c r="J423" i="1"/>
  <c r="I423" i="1"/>
  <c r="H423" i="1"/>
  <c r="G423" i="1"/>
  <c r="J422" i="1"/>
  <c r="J421" i="1" s="1"/>
  <c r="I422" i="1"/>
  <c r="I421" i="1" s="1"/>
  <c r="H422" i="1"/>
  <c r="G422" i="1"/>
  <c r="H421" i="1"/>
  <c r="G421" i="1"/>
  <c r="J415" i="1"/>
  <c r="AB409" i="1"/>
  <c r="Z409" i="1"/>
  <c r="J409" i="1"/>
  <c r="I409" i="1"/>
  <c r="I415" i="1" s="1"/>
  <c r="H409" i="1"/>
  <c r="G409" i="1"/>
  <c r="G459" i="1" s="1"/>
  <c r="J406" i="1"/>
  <c r="I406" i="1"/>
  <c r="H406" i="1"/>
  <c r="G406" i="1"/>
  <c r="J405" i="1"/>
  <c r="I405" i="1"/>
  <c r="H405" i="1"/>
  <c r="G405" i="1"/>
  <c r="J404" i="1"/>
  <c r="I404" i="1"/>
  <c r="H404" i="1"/>
  <c r="G404" i="1"/>
  <c r="J403" i="1"/>
  <c r="I403" i="1"/>
  <c r="H403" i="1"/>
  <c r="G403" i="1"/>
  <c r="AD396" i="1"/>
  <c r="AB396" i="1"/>
  <c r="Z396" i="1"/>
  <c r="J396" i="1"/>
  <c r="I396" i="1"/>
  <c r="H396" i="1"/>
  <c r="G396" i="1"/>
  <c r="Z391" i="1"/>
  <c r="X391" i="1"/>
  <c r="H391" i="1"/>
  <c r="G391" i="1"/>
  <c r="F391" i="1"/>
  <c r="Z390" i="1"/>
  <c r="X390" i="1"/>
  <c r="H390" i="1"/>
  <c r="G390" i="1"/>
  <c r="F390" i="1"/>
  <c r="Z389" i="1"/>
  <c r="X389" i="1"/>
  <c r="H389" i="1"/>
  <c r="G389" i="1"/>
  <c r="F389" i="1"/>
  <c r="Z388" i="1"/>
  <c r="X388" i="1"/>
  <c r="H388" i="1"/>
  <c r="G388" i="1"/>
  <c r="F388" i="1"/>
  <c r="X387" i="1"/>
  <c r="H387" i="1"/>
  <c r="G387" i="1"/>
  <c r="Y385" i="1"/>
  <c r="Y384" i="1"/>
  <c r="Y390" i="1" s="1"/>
  <c r="Y383" i="1"/>
  <c r="Y382" i="1"/>
  <c r="Z381" i="1"/>
  <c r="Z387" i="1" s="1"/>
  <c r="Y381" i="1"/>
  <c r="X381" i="1"/>
  <c r="I381" i="1"/>
  <c r="H381" i="1"/>
  <c r="G381" i="1"/>
  <c r="F381" i="1"/>
  <c r="AE376" i="1"/>
  <c r="AE378" i="1" s="1"/>
  <c r="I374" i="1"/>
  <c r="AC373" i="1"/>
  <c r="AA373" i="1"/>
  <c r="Y373" i="1"/>
  <c r="AC371" i="1"/>
  <c r="AA371" i="1"/>
  <c r="AA345" i="1" s="1"/>
  <c r="Y371" i="1"/>
  <c r="Y391" i="1" s="1"/>
  <c r="AC370" i="1"/>
  <c r="AC344" i="1" s="1"/>
  <c r="AA370" i="1"/>
  <c r="Y370" i="1"/>
  <c r="AC369" i="1"/>
  <c r="AA369" i="1"/>
  <c r="Y369" i="1"/>
  <c r="AC368" i="1"/>
  <c r="AC366" i="1" s="1"/>
  <c r="AA368" i="1"/>
  <c r="AA366" i="1" s="1"/>
  <c r="Y368" i="1"/>
  <c r="AB367" i="1"/>
  <c r="I367" i="1"/>
  <c r="AD366" i="1"/>
  <c r="AD367" i="1" s="1"/>
  <c r="AB366" i="1"/>
  <c r="AB374" i="1" s="1"/>
  <c r="Z366" i="1"/>
  <c r="Z374" i="1" s="1"/>
  <c r="X366" i="1"/>
  <c r="J366" i="1"/>
  <c r="J374" i="1" s="1"/>
  <c r="K374" i="1" s="1"/>
  <c r="I366" i="1"/>
  <c r="I376" i="1" s="1"/>
  <c r="H366" i="1"/>
  <c r="H374" i="1" s="1"/>
  <c r="G366" i="1"/>
  <c r="F366" i="1"/>
  <c r="F376" i="1" s="1"/>
  <c r="F378" i="1" s="1"/>
  <c r="Z364" i="1"/>
  <c r="L364" i="1"/>
  <c r="L363" i="1"/>
  <c r="H363" i="1"/>
  <c r="L362" i="1"/>
  <c r="G362" i="1"/>
  <c r="Z361" i="1"/>
  <c r="L361" i="1"/>
  <c r="H361" i="1"/>
  <c r="Z358" i="1"/>
  <c r="X358" i="1"/>
  <c r="H358" i="1"/>
  <c r="G358" i="1"/>
  <c r="H364" i="1" s="1"/>
  <c r="F358" i="1"/>
  <c r="Z357" i="1"/>
  <c r="X357" i="1"/>
  <c r="Z363" i="1" s="1"/>
  <c r="H357" i="1"/>
  <c r="G357" i="1"/>
  <c r="F357" i="1"/>
  <c r="G363" i="1" s="1"/>
  <c r="Z356" i="1"/>
  <c r="X356" i="1"/>
  <c r="Z362" i="1" s="1"/>
  <c r="H356" i="1"/>
  <c r="H362" i="1" s="1"/>
  <c r="G356" i="1"/>
  <c r="F356" i="1"/>
  <c r="Z355" i="1"/>
  <c r="X355" i="1"/>
  <c r="H355" i="1"/>
  <c r="G355" i="1"/>
  <c r="G361" i="1" s="1"/>
  <c r="F355" i="1"/>
  <c r="K352" i="1"/>
  <c r="L352" i="1" s="1"/>
  <c r="M352" i="1" s="1"/>
  <c r="N352" i="1" s="1"/>
  <c r="O352" i="1" s="1"/>
  <c r="P352" i="1" s="1"/>
  <c r="Q352" i="1" s="1"/>
  <c r="R352" i="1" s="1"/>
  <c r="S352" i="1" s="1"/>
  <c r="T352" i="1" s="1"/>
  <c r="U352" i="1" s="1"/>
  <c r="O351" i="1"/>
  <c r="P351" i="1" s="1"/>
  <c r="Q351" i="1" s="1"/>
  <c r="R351" i="1" s="1"/>
  <c r="S351" i="1" s="1"/>
  <c r="T351" i="1" s="1"/>
  <c r="U351" i="1" s="1"/>
  <c r="K351" i="1"/>
  <c r="L351" i="1" s="1"/>
  <c r="M351" i="1" s="1"/>
  <c r="N351" i="1" s="1"/>
  <c r="K350" i="1"/>
  <c r="L350" i="1" s="1"/>
  <c r="M350" i="1" s="1"/>
  <c r="N350" i="1" s="1"/>
  <c r="O350" i="1" s="1"/>
  <c r="P350" i="1" s="1"/>
  <c r="Q350" i="1" s="1"/>
  <c r="R350" i="1" s="1"/>
  <c r="S350" i="1" s="1"/>
  <c r="T350" i="1" s="1"/>
  <c r="U350" i="1" s="1"/>
  <c r="O349" i="1"/>
  <c r="P349" i="1" s="1"/>
  <c r="Q349" i="1" s="1"/>
  <c r="R349" i="1" s="1"/>
  <c r="S349" i="1" s="1"/>
  <c r="T349" i="1" s="1"/>
  <c r="U349" i="1" s="1"/>
  <c r="L349" i="1"/>
  <c r="M349" i="1" s="1"/>
  <c r="N349" i="1" s="1"/>
  <c r="K349" i="1"/>
  <c r="H345" i="1"/>
  <c r="G345" i="1"/>
  <c r="AD344" i="1"/>
  <c r="AB344" i="1"/>
  <c r="AA344" i="1"/>
  <c r="J344" i="1"/>
  <c r="G344" i="1"/>
  <c r="F344" i="1"/>
  <c r="AC343" i="1"/>
  <c r="AD342" i="1"/>
  <c r="AB342" i="1"/>
  <c r="H342" i="1"/>
  <c r="AD339" i="1"/>
  <c r="H339" i="1"/>
  <c r="AD338" i="1"/>
  <c r="AB338" i="1"/>
  <c r="X338" i="1"/>
  <c r="F338" i="1"/>
  <c r="AD337" i="1"/>
  <c r="AC337" i="1"/>
  <c r="X337" i="1"/>
  <c r="G337" i="1"/>
  <c r="AD336" i="1"/>
  <c r="AB336" i="1"/>
  <c r="H336" i="1"/>
  <c r="AD333" i="1"/>
  <c r="AD345" i="1" s="1"/>
  <c r="AC333" i="1"/>
  <c r="AC345" i="1" s="1"/>
  <c r="AB333" i="1"/>
  <c r="AB339" i="1" s="1"/>
  <c r="AA333" i="1"/>
  <c r="AA339" i="1" s="1"/>
  <c r="H333" i="1"/>
  <c r="G333" i="1"/>
  <c r="G339" i="1" s="1"/>
  <c r="F333" i="1"/>
  <c r="AD332" i="1"/>
  <c r="AC332" i="1"/>
  <c r="AC338" i="1" s="1"/>
  <c r="AB332" i="1"/>
  <c r="AA332" i="1"/>
  <c r="AA338" i="1" s="1"/>
  <c r="Z332" i="1"/>
  <c r="Z344" i="1" s="1"/>
  <c r="X332" i="1"/>
  <c r="X344" i="1" s="1"/>
  <c r="J332" i="1"/>
  <c r="J338" i="1" s="1"/>
  <c r="I332" i="1"/>
  <c r="I344" i="1" s="1"/>
  <c r="G332" i="1"/>
  <c r="G338" i="1" s="1"/>
  <c r="F332" i="1"/>
  <c r="AD331" i="1"/>
  <c r="AD343" i="1" s="1"/>
  <c r="AC331" i="1"/>
  <c r="AB331" i="1"/>
  <c r="AB343" i="1" s="1"/>
  <c r="AA331" i="1"/>
  <c r="AA337" i="1" s="1"/>
  <c r="Z331" i="1"/>
  <c r="Z343" i="1" s="1"/>
  <c r="X331" i="1"/>
  <c r="X343" i="1" s="1"/>
  <c r="AD330" i="1"/>
  <c r="AC330" i="1"/>
  <c r="AB330" i="1"/>
  <c r="AA330" i="1"/>
  <c r="AA329" i="1" s="1"/>
  <c r="H330" i="1"/>
  <c r="AD329" i="1"/>
  <c r="AC329" i="1"/>
  <c r="AA326" i="1"/>
  <c r="AB324" i="1"/>
  <c r="AB355" i="1" s="1"/>
  <c r="AB361" i="1" s="1"/>
  <c r="G317" i="1"/>
  <c r="G315" i="1"/>
  <c r="H311" i="1"/>
  <c r="Z310" i="1"/>
  <c r="G310" i="1"/>
  <c r="AD309" i="1"/>
  <c r="Z309" i="1"/>
  <c r="G309" i="1"/>
  <c r="AD308" i="1"/>
  <c r="I308" i="1"/>
  <c r="AD305" i="1"/>
  <c r="AD311" i="1" s="1"/>
  <c r="AB305" i="1"/>
  <c r="Z305" i="1"/>
  <c r="AA305" i="1" s="1"/>
  <c r="X305" i="1"/>
  <c r="X333" i="1" s="1"/>
  <c r="Y333" i="1" s="1"/>
  <c r="Y339" i="1" s="1"/>
  <c r="J305" i="1"/>
  <c r="AC305" i="1" s="1"/>
  <c r="I305" i="1"/>
  <c r="H305" i="1"/>
  <c r="G305" i="1"/>
  <c r="F305" i="1"/>
  <c r="G311" i="1" s="1"/>
  <c r="AD304" i="1"/>
  <c r="AD326" i="1" s="1"/>
  <c r="AD357" i="1" s="1"/>
  <c r="AD363" i="1" s="1"/>
  <c r="AC304" i="1"/>
  <c r="AC310" i="1" s="1"/>
  <c r="AB304" i="1"/>
  <c r="AB326" i="1" s="1"/>
  <c r="AB357" i="1" s="1"/>
  <c r="AB363" i="1" s="1"/>
  <c r="AA304" i="1"/>
  <c r="Z304" i="1"/>
  <c r="X304" i="1"/>
  <c r="J304" i="1"/>
  <c r="J310" i="1" s="1"/>
  <c r="I304" i="1"/>
  <c r="H304" i="1"/>
  <c r="G304" i="1"/>
  <c r="F304" i="1"/>
  <c r="AD303" i="1"/>
  <c r="AD325" i="1" s="1"/>
  <c r="AD356" i="1" s="1"/>
  <c r="AD362" i="1" s="1"/>
  <c r="AB303" i="1"/>
  <c r="AB325" i="1" s="1"/>
  <c r="AB356" i="1" s="1"/>
  <c r="AB362" i="1" s="1"/>
  <c r="Z303" i="1"/>
  <c r="X303" i="1"/>
  <c r="J303" i="1"/>
  <c r="AC303" i="1" s="1"/>
  <c r="I303" i="1"/>
  <c r="H303" i="1"/>
  <c r="G303" i="1"/>
  <c r="G331" i="1" s="1"/>
  <c r="G343" i="1" s="1"/>
  <c r="F303" i="1"/>
  <c r="F331" i="1" s="1"/>
  <c r="AD302" i="1"/>
  <c r="AD324" i="1" s="1"/>
  <c r="AD355" i="1" s="1"/>
  <c r="AD361" i="1" s="1"/>
  <c r="AB302" i="1"/>
  <c r="Z302" i="1"/>
  <c r="Z330" i="1" s="1"/>
  <c r="Y302" i="1"/>
  <c r="X302" i="1"/>
  <c r="J302" i="1"/>
  <c r="I302" i="1"/>
  <c r="I320" i="1" s="1"/>
  <c r="H302" i="1"/>
  <c r="G302" i="1"/>
  <c r="G320" i="1" s="1"/>
  <c r="F302" i="1"/>
  <c r="G308" i="1" s="1"/>
  <c r="Z301" i="1"/>
  <c r="J301" i="1"/>
  <c r="G301" i="1"/>
  <c r="F301" i="1"/>
  <c r="AD299" i="1"/>
  <c r="AB299" i="1"/>
  <c r="Z299" i="1"/>
  <c r="J299" i="1"/>
  <c r="I299" i="1"/>
  <c r="H299" i="1"/>
  <c r="G299" i="1"/>
  <c r="AD298" i="1"/>
  <c r="AB298" i="1"/>
  <c r="Z298" i="1"/>
  <c r="J298" i="1"/>
  <c r="I298" i="1"/>
  <c r="H298" i="1"/>
  <c r="G298" i="1"/>
  <c r="AD297" i="1"/>
  <c r="AB297" i="1"/>
  <c r="Z297" i="1"/>
  <c r="J297" i="1"/>
  <c r="I297" i="1"/>
  <c r="H297" i="1"/>
  <c r="G297" i="1"/>
  <c r="AD296" i="1"/>
  <c r="AB296" i="1"/>
  <c r="Z296" i="1"/>
  <c r="J296" i="1"/>
  <c r="I296" i="1"/>
  <c r="H296" i="1"/>
  <c r="G296" i="1"/>
  <c r="AC293" i="1"/>
  <c r="L293" i="1"/>
  <c r="K293" i="1"/>
  <c r="AA292" i="1"/>
  <c r="K292" i="1"/>
  <c r="K291" i="1"/>
  <c r="K290" i="1"/>
  <c r="Y287" i="1"/>
  <c r="Z272" i="1" s="1"/>
  <c r="G287" i="1"/>
  <c r="L286" i="1"/>
  <c r="K286" i="1"/>
  <c r="K280" i="1" s="1"/>
  <c r="L285" i="1"/>
  <c r="M285" i="1" s="1"/>
  <c r="N285" i="1" s="1"/>
  <c r="O285" i="1" s="1"/>
  <c r="P285" i="1" s="1"/>
  <c r="L283" i="1"/>
  <c r="M283" i="1" s="1"/>
  <c r="AD280" i="1"/>
  <c r="AC280" i="1"/>
  <c r="AB280" i="1"/>
  <c r="AA280" i="1"/>
  <c r="Z280" i="1"/>
  <c r="J280" i="1"/>
  <c r="I280" i="1"/>
  <c r="H280" i="1"/>
  <c r="G280" i="1"/>
  <c r="AD279" i="1"/>
  <c r="AC279" i="1"/>
  <c r="AB279" i="1"/>
  <c r="AA279" i="1"/>
  <c r="Z279" i="1"/>
  <c r="O279" i="1"/>
  <c r="J279" i="1"/>
  <c r="I279" i="1"/>
  <c r="H279" i="1"/>
  <c r="G279" i="1"/>
  <c r="AD278" i="1"/>
  <c r="AC278" i="1"/>
  <c r="AB278" i="1"/>
  <c r="AA278" i="1"/>
  <c r="Z278" i="1"/>
  <c r="S278" i="1"/>
  <c r="R278" i="1"/>
  <c r="M278" i="1"/>
  <c r="M256" i="1" s="1"/>
  <c r="L278" i="1"/>
  <c r="K278" i="1"/>
  <c r="K256" i="1" s="1"/>
  <c r="J278" i="1"/>
  <c r="I278" i="1"/>
  <c r="H278" i="1"/>
  <c r="G278" i="1"/>
  <c r="AD277" i="1"/>
  <c r="AC277" i="1"/>
  <c r="AB277" i="1"/>
  <c r="AA277" i="1"/>
  <c r="Z277" i="1"/>
  <c r="K277" i="1"/>
  <c r="J277" i="1"/>
  <c r="I277" i="1"/>
  <c r="H277" i="1"/>
  <c r="G277" i="1"/>
  <c r="U276" i="1"/>
  <c r="T276" i="1"/>
  <c r="S276" i="1"/>
  <c r="R276" i="1"/>
  <c r="Q276" i="1"/>
  <c r="P276" i="1"/>
  <c r="O276" i="1"/>
  <c r="N276" i="1"/>
  <c r="M276" i="1"/>
  <c r="M279" i="1" s="1"/>
  <c r="L276" i="1"/>
  <c r="K276" i="1"/>
  <c r="K279" i="1" s="1"/>
  <c r="H274" i="1"/>
  <c r="F274" i="1"/>
  <c r="AC273" i="1"/>
  <c r="AA273" i="1"/>
  <c r="H272" i="1"/>
  <c r="J270" i="1"/>
  <c r="I270" i="1"/>
  <c r="G270" i="1"/>
  <c r="J269" i="1"/>
  <c r="I269" i="1"/>
  <c r="G269" i="1"/>
  <c r="G268" i="1"/>
  <c r="J267" i="1"/>
  <c r="G267" i="1"/>
  <c r="AD264" i="1"/>
  <c r="AC264" i="1"/>
  <c r="AB264" i="1"/>
  <c r="AA264" i="1"/>
  <c r="Z264" i="1"/>
  <c r="J264" i="1"/>
  <c r="I264" i="1"/>
  <c r="H264" i="1"/>
  <c r="G264" i="1"/>
  <c r="AD263" i="1"/>
  <c r="AC263" i="1"/>
  <c r="AB263" i="1"/>
  <c r="AA263" i="1"/>
  <c r="Z263" i="1"/>
  <c r="J263" i="1"/>
  <c r="I263" i="1"/>
  <c r="H263" i="1"/>
  <c r="G263" i="1"/>
  <c r="AD262" i="1"/>
  <c r="AC262" i="1"/>
  <c r="AB262" i="1"/>
  <c r="AA262" i="1"/>
  <c r="Z262" i="1"/>
  <c r="K262" i="1"/>
  <c r="J262" i="1"/>
  <c r="I262" i="1"/>
  <c r="H262" i="1"/>
  <c r="G262" i="1"/>
  <c r="AD261" i="1"/>
  <c r="AC261" i="1"/>
  <c r="AB261" i="1"/>
  <c r="AA261" i="1"/>
  <c r="Z261" i="1"/>
  <c r="J261" i="1"/>
  <c r="I261" i="1"/>
  <c r="H261" i="1"/>
  <c r="G261" i="1"/>
  <c r="Z260" i="1"/>
  <c r="K258" i="1"/>
  <c r="K257" i="1"/>
  <c r="L256" i="1"/>
  <c r="K255" i="1"/>
  <c r="AD254" i="1"/>
  <c r="AD260" i="1" s="1"/>
  <c r="AC254" i="1"/>
  <c r="AB254" i="1"/>
  <c r="AA254" i="1"/>
  <c r="Z254" i="1"/>
  <c r="Z287" i="1" s="1"/>
  <c r="Y254" i="1"/>
  <c r="X254" i="1"/>
  <c r="J254" i="1"/>
  <c r="I254" i="1"/>
  <c r="H254" i="1"/>
  <c r="I260" i="1" s="1"/>
  <c r="G254" i="1"/>
  <c r="G402" i="1" s="1"/>
  <c r="F254" i="1"/>
  <c r="F287" i="1" s="1"/>
  <c r="H251" i="1"/>
  <c r="I249" i="1"/>
  <c r="G249" i="1"/>
  <c r="J249" i="1"/>
  <c r="H249" i="1"/>
  <c r="AD237" i="1"/>
  <c r="AB237" i="1"/>
  <c r="AD236" i="1"/>
  <c r="AB236" i="1"/>
  <c r="Z236" i="1"/>
  <c r="Z237" i="1" s="1"/>
  <c r="X236" i="1"/>
  <c r="X237" i="1" s="1"/>
  <c r="J236" i="1"/>
  <c r="J237" i="1" s="1"/>
  <c r="I236" i="1"/>
  <c r="I237" i="1" s="1"/>
  <c r="AD233" i="1"/>
  <c r="AD234" i="1" s="1"/>
  <c r="AC233" i="1"/>
  <c r="AD232" i="1" s="1"/>
  <c r="AB233" i="1"/>
  <c r="AA233" i="1"/>
  <c r="AB232" i="1" s="1"/>
  <c r="Z233" i="1"/>
  <c r="Y233" i="1"/>
  <c r="J233" i="1"/>
  <c r="I233" i="1"/>
  <c r="H233" i="1"/>
  <c r="I232" i="1" s="1"/>
  <c r="G233" i="1"/>
  <c r="F233" i="1"/>
  <c r="AA232" i="1"/>
  <c r="Z232" i="1"/>
  <c r="Z234" i="1" s="1"/>
  <c r="AC231" i="1"/>
  <c r="AA231" i="1"/>
  <c r="Y231" i="1"/>
  <c r="AC230" i="1"/>
  <c r="AA230" i="1"/>
  <c r="Y230" i="1"/>
  <c r="AD229" i="1"/>
  <c r="AC229" i="1"/>
  <c r="AB229" i="1"/>
  <c r="Z229" i="1"/>
  <c r="X229" i="1"/>
  <c r="J229" i="1"/>
  <c r="I229" i="1"/>
  <c r="H229" i="1"/>
  <c r="G229" i="1"/>
  <c r="F229" i="1"/>
  <c r="I227" i="1"/>
  <c r="H227" i="1"/>
  <c r="AC226" i="1"/>
  <c r="AA226" i="1"/>
  <c r="Y226" i="1"/>
  <c r="I226" i="1"/>
  <c r="AC225" i="1"/>
  <c r="AA225" i="1"/>
  <c r="Y225" i="1"/>
  <c r="AC224" i="1"/>
  <c r="AA224" i="1"/>
  <c r="Y224" i="1"/>
  <c r="AC223" i="1"/>
  <c r="Z223" i="1"/>
  <c r="Y223" i="1"/>
  <c r="X223" i="1"/>
  <c r="I223" i="1"/>
  <c r="AA223" i="1" s="1"/>
  <c r="H223" i="1"/>
  <c r="AA222" i="1"/>
  <c r="Z222" i="1"/>
  <c r="Z227" i="1" s="1"/>
  <c r="J222" i="1"/>
  <c r="J227" i="1" s="1"/>
  <c r="I222" i="1"/>
  <c r="H222" i="1"/>
  <c r="G222" i="1"/>
  <c r="G227" i="1" s="1"/>
  <c r="F222" i="1"/>
  <c r="F227" i="1" s="1"/>
  <c r="AC221" i="1"/>
  <c r="AA221" i="1"/>
  <c r="Y221" i="1"/>
  <c r="AD219" i="1"/>
  <c r="AA219" i="1"/>
  <c r="Z219" i="1"/>
  <c r="I219" i="1"/>
  <c r="G219" i="1"/>
  <c r="F219" i="1"/>
  <c r="AD218" i="1"/>
  <c r="AC218" i="1"/>
  <c r="AB218" i="1"/>
  <c r="AB219" i="1" s="1"/>
  <c r="AA218" i="1"/>
  <c r="Z218" i="1"/>
  <c r="J218" i="1"/>
  <c r="J219" i="1" s="1"/>
  <c r="I218" i="1"/>
  <c r="H218" i="1"/>
  <c r="H219" i="1" s="1"/>
  <c r="G218" i="1"/>
  <c r="AC217" i="1"/>
  <c r="AA217" i="1"/>
  <c r="Y217" i="1"/>
  <c r="AC216" i="1"/>
  <c r="AA216" i="1"/>
  <c r="Y216" i="1"/>
  <c r="K216" i="1"/>
  <c r="AC215" i="1"/>
  <c r="AA215" i="1"/>
  <c r="Y215" i="1"/>
  <c r="AC214" i="1"/>
  <c r="AA214" i="1"/>
  <c r="Y214" i="1"/>
  <c r="J211" i="1"/>
  <c r="I211" i="1"/>
  <c r="H211" i="1"/>
  <c r="H236" i="1" s="1"/>
  <c r="H237" i="1" s="1"/>
  <c r="G211" i="1"/>
  <c r="G236" i="1" s="1"/>
  <c r="G237" i="1" s="1"/>
  <c r="F211" i="1"/>
  <c r="F236" i="1" s="1"/>
  <c r="F237" i="1" s="1"/>
  <c r="Z208" i="1"/>
  <c r="J208" i="1"/>
  <c r="H208" i="1"/>
  <c r="G208" i="1"/>
  <c r="F208" i="1"/>
  <c r="AC206" i="1"/>
  <c r="AA206" i="1"/>
  <c r="Y206" i="1"/>
  <c r="AC205" i="1"/>
  <c r="AA205" i="1"/>
  <c r="Y205" i="1"/>
  <c r="AC204" i="1"/>
  <c r="AA204" i="1"/>
  <c r="Y204" i="1"/>
  <c r="AC202" i="1"/>
  <c r="AA202" i="1"/>
  <c r="Y202" i="1"/>
  <c r="AE199" i="1"/>
  <c r="AD199" i="1"/>
  <c r="AC199" i="1"/>
  <c r="AB199" i="1"/>
  <c r="AA199" i="1"/>
  <c r="Z199" i="1"/>
  <c r="Y199" i="1"/>
  <c r="X199" i="1"/>
  <c r="J199" i="1"/>
  <c r="I199" i="1"/>
  <c r="H199" i="1"/>
  <c r="G199" i="1"/>
  <c r="F199" i="1"/>
  <c r="AE198" i="1"/>
  <c r="AD198" i="1"/>
  <c r="AC198" i="1"/>
  <c r="AB198" i="1"/>
  <c r="AA198" i="1"/>
  <c r="Z198" i="1"/>
  <c r="Y198" i="1"/>
  <c r="X198" i="1"/>
  <c r="J198" i="1"/>
  <c r="I198" i="1"/>
  <c r="H198" i="1"/>
  <c r="G198" i="1"/>
  <c r="F198" i="1"/>
  <c r="AE197" i="1"/>
  <c r="AD197" i="1"/>
  <c r="AC197" i="1"/>
  <c r="AB197" i="1"/>
  <c r="AA197" i="1"/>
  <c r="Z197" i="1"/>
  <c r="Y197" i="1"/>
  <c r="X197" i="1"/>
  <c r="J197" i="1"/>
  <c r="I197" i="1"/>
  <c r="H197" i="1"/>
  <c r="G197" i="1"/>
  <c r="F197" i="1"/>
  <c r="AE196" i="1"/>
  <c r="AD196" i="1"/>
  <c r="AC196" i="1"/>
  <c r="AB196" i="1"/>
  <c r="AA196" i="1"/>
  <c r="Z196" i="1"/>
  <c r="Y196" i="1"/>
  <c r="X196" i="1"/>
  <c r="J196" i="1"/>
  <c r="I196" i="1"/>
  <c r="H196" i="1"/>
  <c r="G196" i="1"/>
  <c r="F196" i="1"/>
  <c r="AE195" i="1"/>
  <c r="AD195" i="1"/>
  <c r="AC195" i="1"/>
  <c r="AB195" i="1"/>
  <c r="AA195" i="1"/>
  <c r="Z195" i="1"/>
  <c r="Y195" i="1"/>
  <c r="X195" i="1"/>
  <c r="J195" i="1"/>
  <c r="I195" i="1"/>
  <c r="H195" i="1"/>
  <c r="H191" i="1" s="1"/>
  <c r="H207" i="1" s="1"/>
  <c r="G195" i="1"/>
  <c r="F195" i="1"/>
  <c r="AE194" i="1"/>
  <c r="AD194" i="1"/>
  <c r="AC194" i="1"/>
  <c r="AB194" i="1"/>
  <c r="AA194" i="1"/>
  <c r="Z194" i="1"/>
  <c r="Y194" i="1"/>
  <c r="X194" i="1"/>
  <c r="J194" i="1"/>
  <c r="I194" i="1"/>
  <c r="H194" i="1"/>
  <c r="G194" i="1"/>
  <c r="F194" i="1"/>
  <c r="AE193" i="1"/>
  <c r="AE191" i="1" s="1"/>
  <c r="AD193" i="1"/>
  <c r="AD191" i="1" s="1"/>
  <c r="AC193" i="1"/>
  <c r="AB193" i="1"/>
  <c r="AA193" i="1"/>
  <c r="Z193" i="1"/>
  <c r="Y193" i="1"/>
  <c r="X193" i="1"/>
  <c r="J193" i="1"/>
  <c r="J191" i="1" s="1"/>
  <c r="J207" i="1" s="1"/>
  <c r="I193" i="1"/>
  <c r="I191" i="1" s="1"/>
  <c r="H193" i="1"/>
  <c r="G193" i="1"/>
  <c r="F193" i="1"/>
  <c r="AE192" i="1"/>
  <c r="AD192" i="1"/>
  <c r="AC192" i="1"/>
  <c r="AB192" i="1"/>
  <c r="AB191" i="1" s="1"/>
  <c r="AB207" i="1" s="1"/>
  <c r="AA192" i="1"/>
  <c r="AA191" i="1" s="1"/>
  <c r="Z192" i="1"/>
  <c r="Y192" i="1"/>
  <c r="X192" i="1"/>
  <c r="J192" i="1"/>
  <c r="I192" i="1"/>
  <c r="H192" i="1"/>
  <c r="G192" i="1"/>
  <c r="G191" i="1" s="1"/>
  <c r="G207" i="1" s="1"/>
  <c r="F192" i="1"/>
  <c r="F191" i="1" s="1"/>
  <c r="AD186" i="1"/>
  <c r="AA186" i="1"/>
  <c r="Z186" i="1"/>
  <c r="Y186" i="1"/>
  <c r="X186" i="1"/>
  <c r="H186" i="1"/>
  <c r="F186" i="1"/>
  <c r="AD180" i="1"/>
  <c r="AC180" i="1"/>
  <c r="AC186" i="1" s="1"/>
  <c r="AB180" i="1"/>
  <c r="AB186" i="1" s="1"/>
  <c r="AA180" i="1"/>
  <c r="Z180" i="1"/>
  <c r="Y180" i="1"/>
  <c r="X180" i="1"/>
  <c r="J180" i="1"/>
  <c r="J186" i="1" s="1"/>
  <c r="I180" i="1"/>
  <c r="I186" i="1" s="1"/>
  <c r="H180" i="1"/>
  <c r="G180" i="1"/>
  <c r="G186" i="1" s="1"/>
  <c r="F180" i="1"/>
  <c r="AA178" i="1"/>
  <c r="Z178" i="1"/>
  <c r="Z187" i="1" s="1"/>
  <c r="AD174" i="1"/>
  <c r="AD222" i="1" s="1"/>
  <c r="AD227" i="1" s="1"/>
  <c r="AC171" i="1"/>
  <c r="AB171" i="1"/>
  <c r="AA171" i="1"/>
  <c r="Z171" i="1"/>
  <c r="Y171" i="1"/>
  <c r="Y178" i="1" s="1"/>
  <c r="X171" i="1"/>
  <c r="X178" i="1" s="1"/>
  <c r="J171" i="1"/>
  <c r="J178" i="1" s="1"/>
  <c r="I171" i="1"/>
  <c r="H171" i="1"/>
  <c r="G171" i="1"/>
  <c r="F171" i="1"/>
  <c r="AD167" i="1"/>
  <c r="AD160" i="1" s="1"/>
  <c r="AC167" i="1"/>
  <c r="AB167" i="1"/>
  <c r="AB222" i="1" s="1"/>
  <c r="AB227" i="1" s="1"/>
  <c r="J167" i="1"/>
  <c r="AD163" i="1"/>
  <c r="AC163" i="1"/>
  <c r="J163" i="1"/>
  <c r="AA160" i="1"/>
  <c r="Z160" i="1"/>
  <c r="Y160" i="1"/>
  <c r="X160" i="1"/>
  <c r="J160" i="1"/>
  <c r="I160" i="1"/>
  <c r="I178" i="1" s="1"/>
  <c r="H160" i="1"/>
  <c r="H178" i="1" s="1"/>
  <c r="G160" i="1"/>
  <c r="G178" i="1" s="1"/>
  <c r="F160" i="1"/>
  <c r="F178" i="1" s="1"/>
  <c r="Y158" i="1"/>
  <c r="Y187" i="1" s="1"/>
  <c r="X158" i="1"/>
  <c r="J158" i="1"/>
  <c r="J187" i="1" s="1"/>
  <c r="H158" i="1"/>
  <c r="H187" i="1" s="1"/>
  <c r="AD147" i="1"/>
  <c r="AC147" i="1"/>
  <c r="AB147" i="1"/>
  <c r="AA147" i="1"/>
  <c r="Z147" i="1"/>
  <c r="Y147" i="1"/>
  <c r="X147" i="1"/>
  <c r="J147" i="1"/>
  <c r="I147" i="1"/>
  <c r="H147" i="1"/>
  <c r="G147" i="1"/>
  <c r="F147" i="1"/>
  <c r="J144" i="1"/>
  <c r="I144" i="1"/>
  <c r="H144" i="1"/>
  <c r="G144" i="1"/>
  <c r="F144" i="1"/>
  <c r="J142" i="1"/>
  <c r="J141" i="1"/>
  <c r="I141" i="1"/>
  <c r="H141" i="1"/>
  <c r="G141" i="1"/>
  <c r="F141" i="1"/>
  <c r="J140" i="1"/>
  <c r="N139" i="1"/>
  <c r="O139" i="1" s="1"/>
  <c r="P139" i="1" s="1"/>
  <c r="Q139" i="1" s="1"/>
  <c r="R139" i="1" s="1"/>
  <c r="S139" i="1" s="1"/>
  <c r="T139" i="1" s="1"/>
  <c r="U139" i="1" s="1"/>
  <c r="M139" i="1"/>
  <c r="L139" i="1"/>
  <c r="J138" i="1"/>
  <c r="J139" i="1" s="1"/>
  <c r="L137" i="1"/>
  <c r="M137" i="1" s="1"/>
  <c r="L136" i="1"/>
  <c r="K136" i="1"/>
  <c r="K135" i="1"/>
  <c r="K138" i="1" s="1"/>
  <c r="K206" i="1" s="1"/>
  <c r="K224" i="1" s="1"/>
  <c r="J131" i="1"/>
  <c r="I131" i="1"/>
  <c r="I132" i="1" s="1"/>
  <c r="H131" i="1"/>
  <c r="G131" i="1"/>
  <c r="H126" i="1" s="1"/>
  <c r="F131" i="1"/>
  <c r="G126" i="1" s="1"/>
  <c r="J130" i="1"/>
  <c r="I130" i="1"/>
  <c r="Q129" i="1"/>
  <c r="R129" i="1" s="1"/>
  <c r="S129" i="1" s="1"/>
  <c r="T129" i="1" s="1"/>
  <c r="U129" i="1" s="1"/>
  <c r="O129" i="1"/>
  <c r="P129" i="1" s="1"/>
  <c r="J129" i="1"/>
  <c r="K129" i="1" s="1"/>
  <c r="L129" i="1" s="1"/>
  <c r="M129" i="1" s="1"/>
  <c r="N129" i="1" s="1"/>
  <c r="I129" i="1"/>
  <c r="G129" i="1"/>
  <c r="J128" i="1"/>
  <c r="I128" i="1"/>
  <c r="H128" i="1"/>
  <c r="G128" i="1"/>
  <c r="G130" i="1" s="1"/>
  <c r="G132" i="1" s="1"/>
  <c r="F128" i="1"/>
  <c r="F129" i="1" s="1"/>
  <c r="N127" i="1"/>
  <c r="N216" i="1" s="1"/>
  <c r="M127" i="1"/>
  <c r="M216" i="1" s="1"/>
  <c r="L127" i="1"/>
  <c r="L216" i="1" s="1"/>
  <c r="J127" i="1"/>
  <c r="I127" i="1"/>
  <c r="H127" i="1"/>
  <c r="G127" i="1"/>
  <c r="F127" i="1"/>
  <c r="J126" i="1"/>
  <c r="I126" i="1"/>
  <c r="F126" i="1"/>
  <c r="J120" i="1"/>
  <c r="I120" i="1"/>
  <c r="I122" i="1" s="1"/>
  <c r="H120" i="1"/>
  <c r="G120" i="1"/>
  <c r="F120" i="1"/>
  <c r="F119" i="1"/>
  <c r="U118" i="1"/>
  <c r="T118" i="1"/>
  <c r="J118" i="1"/>
  <c r="K118" i="1" s="1"/>
  <c r="L118" i="1" s="1"/>
  <c r="M118" i="1" s="1"/>
  <c r="N118" i="1" s="1"/>
  <c r="O118" i="1" s="1"/>
  <c r="P118" i="1" s="1"/>
  <c r="Q118" i="1" s="1"/>
  <c r="R118" i="1" s="1"/>
  <c r="S118" i="1" s="1"/>
  <c r="F118" i="1"/>
  <c r="J117" i="1"/>
  <c r="I117" i="1"/>
  <c r="H117" i="1"/>
  <c r="G117" i="1"/>
  <c r="F117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I115" i="1" s="1"/>
  <c r="H114" i="1"/>
  <c r="H115" i="1" s="1"/>
  <c r="H116" i="1" s="1"/>
  <c r="G114" i="1"/>
  <c r="G115" i="1" s="1"/>
  <c r="F114" i="1"/>
  <c r="F115" i="1" s="1"/>
  <c r="F116" i="1" s="1"/>
  <c r="J113" i="1"/>
  <c r="J115" i="1" s="1"/>
  <c r="I113" i="1"/>
  <c r="H113" i="1"/>
  <c r="G113" i="1"/>
  <c r="F113" i="1"/>
  <c r="J112" i="1"/>
  <c r="F112" i="1"/>
  <c r="U109" i="1"/>
  <c r="O109" i="1"/>
  <c r="P109" i="1" s="1"/>
  <c r="Q109" i="1" s="1"/>
  <c r="R109" i="1" s="1"/>
  <c r="S109" i="1" s="1"/>
  <c r="T109" i="1" s="1"/>
  <c r="L109" i="1"/>
  <c r="M109" i="1" s="1"/>
  <c r="N109" i="1" s="1"/>
  <c r="K109" i="1"/>
  <c r="G108" i="1"/>
  <c r="M106" i="1"/>
  <c r="N106" i="1" s="1"/>
  <c r="O106" i="1" s="1"/>
  <c r="P106" i="1" s="1"/>
  <c r="Q106" i="1" s="1"/>
  <c r="R106" i="1" s="1"/>
  <c r="S106" i="1" s="1"/>
  <c r="T106" i="1" s="1"/>
  <c r="U106" i="1" s="1"/>
  <c r="L106" i="1"/>
  <c r="K106" i="1"/>
  <c r="M105" i="1"/>
  <c r="N105" i="1" s="1"/>
  <c r="O105" i="1" s="1"/>
  <c r="P105" i="1" s="1"/>
  <c r="Q105" i="1" s="1"/>
  <c r="R105" i="1" s="1"/>
  <c r="S105" i="1" s="1"/>
  <c r="T105" i="1" s="1"/>
  <c r="U105" i="1" s="1"/>
  <c r="K105" i="1"/>
  <c r="L105" i="1" s="1"/>
  <c r="P104" i="1"/>
  <c r="Q104" i="1" s="1"/>
  <c r="R104" i="1" s="1"/>
  <c r="S104" i="1" s="1"/>
  <c r="T104" i="1" s="1"/>
  <c r="U104" i="1" s="1"/>
  <c r="N104" i="1"/>
  <c r="O104" i="1" s="1"/>
  <c r="M104" i="1"/>
  <c r="L104" i="1"/>
  <c r="K104" i="1"/>
  <c r="K103" i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P102" i="1"/>
  <c r="Q102" i="1" s="1"/>
  <c r="R102" i="1" s="1"/>
  <c r="S102" i="1" s="1"/>
  <c r="T102" i="1" s="1"/>
  <c r="U102" i="1" s="1"/>
  <c r="L102" i="1"/>
  <c r="M102" i="1" s="1"/>
  <c r="N102" i="1" s="1"/>
  <c r="O102" i="1" s="1"/>
  <c r="K102" i="1"/>
  <c r="AD101" i="1"/>
  <c r="AD95" i="1" s="1"/>
  <c r="AD158" i="1" s="1"/>
  <c r="AC101" i="1"/>
  <c r="AB101" i="1"/>
  <c r="AA101" i="1"/>
  <c r="Q101" i="1"/>
  <c r="R101" i="1" s="1"/>
  <c r="S101" i="1" s="1"/>
  <c r="T101" i="1" s="1"/>
  <c r="U101" i="1" s="1"/>
  <c r="P101" i="1"/>
  <c r="O101" i="1"/>
  <c r="N101" i="1"/>
  <c r="M101" i="1"/>
  <c r="J101" i="1"/>
  <c r="K101" i="1" s="1"/>
  <c r="L101" i="1" s="1"/>
  <c r="I101" i="1"/>
  <c r="I95" i="1" s="1"/>
  <c r="I158" i="1" s="1"/>
  <c r="I187" i="1" s="1"/>
  <c r="N99" i="1"/>
  <c r="O99" i="1" s="1"/>
  <c r="P99" i="1" s="1"/>
  <c r="Q99" i="1" s="1"/>
  <c r="R99" i="1" s="1"/>
  <c r="S99" i="1" s="1"/>
  <c r="T99" i="1" s="1"/>
  <c r="U99" i="1" s="1"/>
  <c r="M99" i="1"/>
  <c r="K99" i="1"/>
  <c r="L99" i="1" s="1"/>
  <c r="AC95" i="1"/>
  <c r="AC158" i="1" s="1"/>
  <c r="AB95" i="1"/>
  <c r="AB158" i="1" s="1"/>
  <c r="AA95" i="1"/>
  <c r="AA158" i="1" s="1"/>
  <c r="AA187" i="1" s="1"/>
  <c r="Z95" i="1"/>
  <c r="Z158" i="1" s="1"/>
  <c r="Y95" i="1"/>
  <c r="X95" i="1"/>
  <c r="J95" i="1"/>
  <c r="H95" i="1"/>
  <c r="G95" i="1"/>
  <c r="G158" i="1" s="1"/>
  <c r="G187" i="1" s="1"/>
  <c r="F95" i="1"/>
  <c r="F158" i="1" s="1"/>
  <c r="F187" i="1" s="1"/>
  <c r="AC82" i="1"/>
  <c r="AA82" i="1"/>
  <c r="Y82" i="1"/>
  <c r="AC76" i="1"/>
  <c r="AA76" i="1"/>
  <c r="Y76" i="1"/>
  <c r="AC72" i="1"/>
  <c r="AA72" i="1"/>
  <c r="Y72" i="1"/>
  <c r="AC70" i="1"/>
  <c r="AA70" i="1"/>
  <c r="Y70" i="1"/>
  <c r="AD68" i="1"/>
  <c r="AD208" i="1" s="1"/>
  <c r="AB68" i="1"/>
  <c r="AB208" i="1" s="1"/>
  <c r="Y68" i="1"/>
  <c r="J68" i="1"/>
  <c r="I68" i="1"/>
  <c r="AA68" i="1" s="1"/>
  <c r="I66" i="1"/>
  <c r="H66" i="1"/>
  <c r="G66" i="1"/>
  <c r="J65" i="1"/>
  <c r="I65" i="1"/>
  <c r="H65" i="1"/>
  <c r="H74" i="1" s="1"/>
  <c r="H79" i="1" s="1"/>
  <c r="H63" i="1"/>
  <c r="I62" i="1"/>
  <c r="I63" i="1" s="1"/>
  <c r="H62" i="1"/>
  <c r="AD59" i="1"/>
  <c r="AB59" i="1"/>
  <c r="Z59" i="1"/>
  <c r="X59" i="1"/>
  <c r="N59" i="1"/>
  <c r="M59" i="1"/>
  <c r="L59" i="1"/>
  <c r="J59" i="1"/>
  <c r="I59" i="1"/>
  <c r="H59" i="1"/>
  <c r="G59" i="1"/>
  <c r="F59" i="1"/>
  <c r="AD58" i="1"/>
  <c r="AB58" i="1"/>
  <c r="Z58" i="1"/>
  <c r="X58" i="1"/>
  <c r="J58" i="1"/>
  <c r="I58" i="1"/>
  <c r="H58" i="1"/>
  <c r="G58" i="1"/>
  <c r="F58" i="1"/>
  <c r="AD57" i="1"/>
  <c r="AC57" i="1"/>
  <c r="AB57" i="1"/>
  <c r="Z57" i="1"/>
  <c r="Y57" i="1"/>
  <c r="X57" i="1"/>
  <c r="J57" i="1"/>
  <c r="I57" i="1"/>
  <c r="H57" i="1"/>
  <c r="G57" i="1"/>
  <c r="F57" i="1"/>
  <c r="AD56" i="1"/>
  <c r="AB56" i="1"/>
  <c r="Z56" i="1"/>
  <c r="X56" i="1"/>
  <c r="K56" i="1"/>
  <c r="J56" i="1"/>
  <c r="I56" i="1"/>
  <c r="H56" i="1"/>
  <c r="G56" i="1"/>
  <c r="F56" i="1"/>
  <c r="AD55" i="1"/>
  <c r="AC55" i="1"/>
  <c r="AB55" i="1"/>
  <c r="AA55" i="1"/>
  <c r="Z55" i="1"/>
  <c r="X55" i="1"/>
  <c r="J55" i="1"/>
  <c r="I55" i="1"/>
  <c r="H55" i="1"/>
  <c r="G55" i="1"/>
  <c r="F55" i="1"/>
  <c r="AD54" i="1"/>
  <c r="AB54" i="1"/>
  <c r="Z54" i="1"/>
  <c r="Y54" i="1"/>
  <c r="X54" i="1"/>
  <c r="J54" i="1"/>
  <c r="I54" i="1"/>
  <c r="H54" i="1"/>
  <c r="G54" i="1"/>
  <c r="F54" i="1"/>
  <c r="AC51" i="1"/>
  <c r="AA51" i="1"/>
  <c r="AA59" i="1" s="1"/>
  <c r="Z51" i="1"/>
  <c r="Y51" i="1"/>
  <c r="Y59" i="1" s="1"/>
  <c r="I51" i="1"/>
  <c r="L50" i="1"/>
  <c r="J50" i="1"/>
  <c r="I50" i="1"/>
  <c r="H50" i="1"/>
  <c r="AC49" i="1"/>
  <c r="AC58" i="1" s="1"/>
  <c r="AA49" i="1"/>
  <c r="AA58" i="1" s="1"/>
  <c r="Y49" i="1"/>
  <c r="Y58" i="1" s="1"/>
  <c r="K49" i="1"/>
  <c r="L49" i="1" s="1"/>
  <c r="AC48" i="1"/>
  <c r="AA48" i="1"/>
  <c r="AA57" i="1" s="1"/>
  <c r="Y48" i="1"/>
  <c r="AC47" i="1"/>
  <c r="AA47" i="1"/>
  <c r="AA56" i="1" s="1"/>
  <c r="Y47" i="1"/>
  <c r="Y56" i="1" s="1"/>
  <c r="AC45" i="1"/>
  <c r="AA45" i="1"/>
  <c r="Y45" i="1"/>
  <c r="AD43" i="1"/>
  <c r="J43" i="1"/>
  <c r="I43" i="1"/>
  <c r="AD42" i="1"/>
  <c r="AB42" i="1"/>
  <c r="J42" i="1"/>
  <c r="AC40" i="1"/>
  <c r="AA40" i="1"/>
  <c r="Y40" i="1"/>
  <c r="J39" i="1"/>
  <c r="I39" i="1"/>
  <c r="G39" i="1"/>
  <c r="AD38" i="1"/>
  <c r="AD39" i="1" s="1"/>
  <c r="AB38" i="1"/>
  <c r="Z38" i="1"/>
  <c r="X38" i="1"/>
  <c r="J38" i="1"/>
  <c r="I38" i="1"/>
  <c r="H38" i="1"/>
  <c r="G38" i="1"/>
  <c r="G65" i="1" s="1"/>
  <c r="F38" i="1"/>
  <c r="J36" i="1"/>
  <c r="I36" i="1"/>
  <c r="H36" i="1"/>
  <c r="G36" i="1"/>
  <c r="F36" i="1"/>
  <c r="AC35" i="1"/>
  <c r="AA35" i="1"/>
  <c r="Y35" i="1"/>
  <c r="AB33" i="1"/>
  <c r="Z33" i="1"/>
  <c r="H33" i="1"/>
  <c r="G33" i="1"/>
  <c r="F33" i="1"/>
  <c r="AD32" i="1"/>
  <c r="AB32" i="1"/>
  <c r="AB65" i="1" s="1"/>
  <c r="Z32" i="1"/>
  <c r="X32" i="1"/>
  <c r="X33" i="1" s="1"/>
  <c r="J32" i="1"/>
  <c r="J33" i="1" s="1"/>
  <c r="I32" i="1"/>
  <c r="I33" i="1" s="1"/>
  <c r="H32" i="1"/>
  <c r="G32" i="1"/>
  <c r="F32" i="1"/>
  <c r="Y30" i="1"/>
  <c r="Y29" i="1"/>
  <c r="Z28" i="1"/>
  <c r="X28" i="1"/>
  <c r="H28" i="1"/>
  <c r="G28" i="1"/>
  <c r="F28" i="1"/>
  <c r="Y27" i="1"/>
  <c r="AC25" i="1"/>
  <c r="AA25" i="1"/>
  <c r="AA32" i="1" s="1"/>
  <c r="Y25" i="1"/>
  <c r="Y32" i="1" s="1"/>
  <c r="Y33" i="1" s="1"/>
  <c r="AD23" i="1"/>
  <c r="AB23" i="1"/>
  <c r="Z23" i="1"/>
  <c r="X23" i="1"/>
  <c r="J23" i="1"/>
  <c r="I23" i="1"/>
  <c r="H23" i="1"/>
  <c r="G23" i="1"/>
  <c r="F23" i="1"/>
  <c r="AD22" i="1"/>
  <c r="AC22" i="1"/>
  <c r="AB22" i="1"/>
  <c r="Z22" i="1"/>
  <c r="X22" i="1"/>
  <c r="J22" i="1"/>
  <c r="I22" i="1"/>
  <c r="H22" i="1"/>
  <c r="G22" i="1"/>
  <c r="F22" i="1"/>
  <c r="AD21" i="1"/>
  <c r="AC21" i="1"/>
  <c r="AB21" i="1"/>
  <c r="Z21" i="1"/>
  <c r="Y21" i="1"/>
  <c r="X21" i="1"/>
  <c r="J21" i="1"/>
  <c r="I21" i="1"/>
  <c r="H21" i="1"/>
  <c r="G21" i="1"/>
  <c r="F21" i="1"/>
  <c r="AD20" i="1"/>
  <c r="AB20" i="1"/>
  <c r="AA20" i="1"/>
  <c r="Z20" i="1"/>
  <c r="Y20" i="1"/>
  <c r="X20" i="1"/>
  <c r="J20" i="1"/>
  <c r="I20" i="1"/>
  <c r="H20" i="1"/>
  <c r="G20" i="1"/>
  <c r="F20" i="1"/>
  <c r="AD19" i="1"/>
  <c r="AB19" i="1"/>
  <c r="Z19" i="1"/>
  <c r="X19" i="1"/>
  <c r="J19" i="1"/>
  <c r="I19" i="1"/>
  <c r="H19" i="1"/>
  <c r="G19" i="1"/>
  <c r="F19" i="1"/>
  <c r="AC16" i="1"/>
  <c r="AA16" i="1"/>
  <c r="AA23" i="1" s="1"/>
  <c r="Y16" i="1"/>
  <c r="Y23" i="1" s="1"/>
  <c r="AD15" i="1"/>
  <c r="AB15" i="1"/>
  <c r="AA15" i="1"/>
  <c r="Z15" i="1"/>
  <c r="J15" i="1"/>
  <c r="I15" i="1"/>
  <c r="H15" i="1"/>
  <c r="G15" i="1"/>
  <c r="AC14" i="1"/>
  <c r="AC15" i="1" s="1"/>
  <c r="AA14" i="1"/>
  <c r="AA22" i="1" s="1"/>
  <c r="Y14" i="1"/>
  <c r="Y22" i="1" s="1"/>
  <c r="K14" i="1"/>
  <c r="AD13" i="1"/>
  <c r="AB13" i="1"/>
  <c r="AA13" i="1"/>
  <c r="Z13" i="1"/>
  <c r="J13" i="1"/>
  <c r="I13" i="1"/>
  <c r="H13" i="1"/>
  <c r="G13" i="1"/>
  <c r="AC12" i="1"/>
  <c r="AC13" i="1" s="1"/>
  <c r="AA12" i="1"/>
  <c r="AA21" i="1" s="1"/>
  <c r="Y12" i="1"/>
  <c r="K12" i="1"/>
  <c r="L12" i="1" s="1"/>
  <c r="AD11" i="1"/>
  <c r="AB11" i="1"/>
  <c r="AA11" i="1"/>
  <c r="Z11" i="1"/>
  <c r="AC10" i="1"/>
  <c r="AA10" i="1"/>
  <c r="Y10" i="1"/>
  <c r="L10" i="1"/>
  <c r="M10" i="1" s="1"/>
  <c r="N10" i="1" s="1"/>
  <c r="K10" i="1"/>
  <c r="AD9" i="1"/>
  <c r="AB9" i="1"/>
  <c r="Z9" i="1"/>
  <c r="J9" i="1"/>
  <c r="I9" i="1"/>
  <c r="H9" i="1"/>
  <c r="G9" i="1"/>
  <c r="AC8" i="1"/>
  <c r="AC19" i="1" s="1"/>
  <c r="AA8" i="1"/>
  <c r="AA19" i="1" s="1"/>
  <c r="Y8" i="1"/>
  <c r="Y19" i="1" s="1"/>
  <c r="AD6" i="1"/>
  <c r="AB6" i="1"/>
  <c r="AA6" i="1"/>
  <c r="Z6" i="1"/>
  <c r="J6" i="1"/>
  <c r="I6" i="1"/>
  <c r="H6" i="1"/>
  <c r="G6" i="1"/>
  <c r="AC5" i="1"/>
  <c r="AA5" i="1"/>
  <c r="Y5" i="1"/>
  <c r="M49" i="1" l="1"/>
  <c r="O10" i="1"/>
  <c r="L56" i="1"/>
  <c r="AC6" i="1"/>
  <c r="AC56" i="1"/>
  <c r="AC9" i="1"/>
  <c r="AC32" i="1"/>
  <c r="Y38" i="1"/>
  <c r="AC59" i="1"/>
  <c r="I208" i="1"/>
  <c r="AD33" i="1"/>
  <c r="AD65" i="1"/>
  <c r="Z65" i="1"/>
  <c r="AB39" i="1"/>
  <c r="AB43" i="1"/>
  <c r="AA54" i="1"/>
  <c r="AA38" i="1"/>
  <c r="AA39" i="1" s="1"/>
  <c r="AA43" i="1"/>
  <c r="J74" i="1"/>
  <c r="J66" i="1"/>
  <c r="J62" i="1"/>
  <c r="J63" i="1" s="1"/>
  <c r="G122" i="1"/>
  <c r="G123" i="1" s="1"/>
  <c r="AC287" i="1"/>
  <c r="AC260" i="1"/>
  <c r="AC42" i="1"/>
  <c r="AC38" i="1"/>
  <c r="AC54" i="1"/>
  <c r="AC43" i="1"/>
  <c r="O59" i="1"/>
  <c r="H122" i="1"/>
  <c r="K140" i="1"/>
  <c r="K141" i="1" s="1"/>
  <c r="X191" i="1"/>
  <c r="K248" i="1"/>
  <c r="L248" i="1" s="1"/>
  <c r="M248" i="1" s="1"/>
  <c r="N248" i="1" s="1"/>
  <c r="O248" i="1" s="1"/>
  <c r="P248" i="1" s="1"/>
  <c r="Q248" i="1" s="1"/>
  <c r="R248" i="1" s="1"/>
  <c r="S248" i="1" s="1"/>
  <c r="T248" i="1" s="1"/>
  <c r="U248" i="1" s="1"/>
  <c r="Q285" i="1"/>
  <c r="R285" i="1" s="1"/>
  <c r="P279" i="1"/>
  <c r="Z39" i="1"/>
  <c r="I207" i="1"/>
  <c r="AD207" i="1"/>
  <c r="Y236" i="1"/>
  <c r="Y237" i="1" s="1"/>
  <c r="Y229" i="1"/>
  <c r="AA229" i="1"/>
  <c r="AA234" i="1" s="1"/>
  <c r="AA236" i="1"/>
  <c r="AA237" i="1" s="1"/>
  <c r="F108" i="1"/>
  <c r="G272" i="1"/>
  <c r="F275" i="1"/>
  <c r="F276" i="1"/>
  <c r="G260" i="1"/>
  <c r="K43" i="1"/>
  <c r="J44" i="1"/>
  <c r="O127" i="1"/>
  <c r="F321" i="1"/>
  <c r="G251" i="1"/>
  <c r="J132" i="1"/>
  <c r="K126" i="1"/>
  <c r="I74" i="1"/>
  <c r="AA9" i="1"/>
  <c r="AA33" i="1"/>
  <c r="G62" i="1"/>
  <c r="G63" i="1" s="1"/>
  <c r="G74" i="1"/>
  <c r="X65" i="1"/>
  <c r="H112" i="1"/>
  <c r="M12" i="1"/>
  <c r="L14" i="1"/>
  <c r="Y28" i="1"/>
  <c r="AB74" i="1"/>
  <c r="AB66" i="1"/>
  <c r="Y65" i="1"/>
  <c r="I112" i="1"/>
  <c r="F130" i="1"/>
  <c r="F132" i="1" s="1"/>
  <c r="X187" i="1"/>
  <c r="F234" i="1"/>
  <c r="G232" i="1"/>
  <c r="G234" i="1" s="1"/>
  <c r="AC232" i="1"/>
  <c r="AB234" i="1"/>
  <c r="AC20" i="1"/>
  <c r="AC11" i="1"/>
  <c r="H83" i="1"/>
  <c r="H203" i="1"/>
  <c r="H209" i="1" s="1"/>
  <c r="H81" i="1"/>
  <c r="H130" i="1"/>
  <c r="H129" i="1"/>
  <c r="Z191" i="1"/>
  <c r="Z207" i="1" s="1"/>
  <c r="AC191" i="1"/>
  <c r="AC207" i="1" s="1"/>
  <c r="AB287" i="1"/>
  <c r="AB260" i="1"/>
  <c r="K333" i="1"/>
  <c r="L258" i="1"/>
  <c r="L333" i="1"/>
  <c r="K264" i="1"/>
  <c r="K270" i="1"/>
  <c r="K269" i="1"/>
  <c r="K263" i="1"/>
  <c r="K332" i="1"/>
  <c r="L257" i="1"/>
  <c r="AA208" i="1"/>
  <c r="H77" i="1"/>
  <c r="J119" i="1"/>
  <c r="J121" i="1" s="1"/>
  <c r="AB160" i="1"/>
  <c r="AB178" i="1" s="1"/>
  <c r="AB187" i="1" s="1"/>
  <c r="AC222" i="1"/>
  <c r="AC227" i="1" s="1"/>
  <c r="H287" i="1"/>
  <c r="H270" i="1"/>
  <c r="H260" i="1"/>
  <c r="H268" i="1"/>
  <c r="H267" i="1"/>
  <c r="H269" i="1"/>
  <c r="F65" i="1"/>
  <c r="AC208" i="1"/>
  <c r="AC160" i="1"/>
  <c r="AC178" i="1" s="1"/>
  <c r="AC187" i="1" s="1"/>
  <c r="AA227" i="1"/>
  <c r="H39" i="1"/>
  <c r="Y55" i="1"/>
  <c r="K112" i="1"/>
  <c r="J122" i="1"/>
  <c r="J123" i="1" s="1"/>
  <c r="I234" i="1"/>
  <c r="J232" i="1"/>
  <c r="J234" i="1" s="1"/>
  <c r="Z276" i="1"/>
  <c r="Z286" i="1" s="1"/>
  <c r="AA272" i="1"/>
  <c r="Z275" i="1"/>
  <c r="M262" i="1"/>
  <c r="N256" i="1"/>
  <c r="AC23" i="1"/>
  <c r="AC68" i="1"/>
  <c r="H80" i="1"/>
  <c r="M136" i="1"/>
  <c r="N137" i="1"/>
  <c r="AD171" i="1"/>
  <c r="AD178" i="1" s="1"/>
  <c r="AD187" i="1" s="1"/>
  <c r="Y191" i="1"/>
  <c r="H232" i="1"/>
  <c r="H234" i="1" s="1"/>
  <c r="AC234" i="1"/>
  <c r="AA287" i="1"/>
  <c r="AA42" i="1"/>
  <c r="AA260" i="1"/>
  <c r="F122" i="1"/>
  <c r="J145" i="1"/>
  <c r="AC219" i="1"/>
  <c r="K250" i="1"/>
  <c r="L250" i="1" s="1"/>
  <c r="M250" i="1" s="1"/>
  <c r="N250" i="1" s="1"/>
  <c r="O250" i="1" s="1"/>
  <c r="P250" i="1" s="1"/>
  <c r="Q250" i="1" s="1"/>
  <c r="R250" i="1" s="1"/>
  <c r="S250" i="1" s="1"/>
  <c r="T250" i="1" s="1"/>
  <c r="U250" i="1" s="1"/>
  <c r="J251" i="1"/>
  <c r="O278" i="1"/>
  <c r="M277" i="1"/>
  <c r="Z307" i="1"/>
  <c r="Z289" i="1"/>
  <c r="X330" i="1"/>
  <c r="X301" i="1"/>
  <c r="I309" i="1"/>
  <c r="I321" i="1"/>
  <c r="I301" i="1"/>
  <c r="AA303" i="1"/>
  <c r="L374" i="1"/>
  <c r="Y290" i="1"/>
  <c r="AC291" i="1"/>
  <c r="AC325" i="1"/>
  <c r="AC367" i="1"/>
  <c r="AC376" i="1"/>
  <c r="AC374" i="1"/>
  <c r="AA274" i="1"/>
  <c r="Q279" i="1"/>
  <c r="Q278" i="1"/>
  <c r="Z342" i="1"/>
  <c r="Z336" i="1"/>
  <c r="I330" i="1"/>
  <c r="AA327" i="1"/>
  <c r="L291" i="1"/>
  <c r="I402" i="1"/>
  <c r="AC236" i="1"/>
  <c r="AC237" i="1" s="1"/>
  <c r="I267" i="1"/>
  <c r="I268" i="1"/>
  <c r="I42" i="1"/>
  <c r="I287" i="1"/>
  <c r="AD335" i="1"/>
  <c r="AD287" i="1"/>
  <c r="M331" i="1"/>
  <c r="K261" i="1"/>
  <c r="L279" i="1"/>
  <c r="L277" i="1"/>
  <c r="L280" i="1"/>
  <c r="T278" i="1"/>
  <c r="M293" i="1"/>
  <c r="F337" i="1"/>
  <c r="F343" i="1"/>
  <c r="J268" i="1"/>
  <c r="J260" i="1"/>
  <c r="J287" i="1"/>
  <c r="K330" i="1"/>
  <c r="K329" i="1" s="1"/>
  <c r="L255" i="1"/>
  <c r="Z283" i="1"/>
  <c r="U278" i="1"/>
  <c r="M286" i="1"/>
  <c r="M280" i="1" s="1"/>
  <c r="N283" i="1"/>
  <c r="AA293" i="1"/>
  <c r="AC302" i="1"/>
  <c r="J314" i="1"/>
  <c r="J324" i="1"/>
  <c r="J355" i="1" s="1"/>
  <c r="J320" i="1"/>
  <c r="J308" i="1"/>
  <c r="F121" i="1"/>
  <c r="G112" i="1"/>
  <c r="H132" i="1"/>
  <c r="I251" i="1"/>
  <c r="K254" i="1"/>
  <c r="L262" i="1"/>
  <c r="N278" i="1"/>
  <c r="N279" i="1"/>
  <c r="K331" i="1"/>
  <c r="L331" i="1"/>
  <c r="AC299" i="1"/>
  <c r="H321" i="1"/>
  <c r="H331" i="1"/>
  <c r="H315" i="1"/>
  <c r="Y303" i="1"/>
  <c r="H309" i="1"/>
  <c r="H301" i="1"/>
  <c r="L292" i="1"/>
  <c r="Z311" i="1"/>
  <c r="AC335" i="1"/>
  <c r="AA374" i="1"/>
  <c r="F289" i="1"/>
  <c r="G307" i="1"/>
  <c r="AB308" i="1"/>
  <c r="J316" i="1"/>
  <c r="J326" i="1"/>
  <c r="J357" i="1" s="1"/>
  <c r="AC326" i="1"/>
  <c r="F339" i="1"/>
  <c r="F345" i="1"/>
  <c r="AC339" i="1"/>
  <c r="X374" i="1"/>
  <c r="Z367" i="1"/>
  <c r="X376" i="1"/>
  <c r="X378" i="1" s="1"/>
  <c r="AC292" i="1"/>
  <c r="AC298" i="1" s="1"/>
  <c r="G314" i="1"/>
  <c r="J317" i="1"/>
  <c r="F330" i="1"/>
  <c r="I331" i="1"/>
  <c r="AA336" i="1"/>
  <c r="Z337" i="1"/>
  <c r="J367" i="1"/>
  <c r="J289" i="1"/>
  <c r="J381" i="1"/>
  <c r="J376" i="1"/>
  <c r="G415" i="1"/>
  <c r="L290" i="1"/>
  <c r="AC311" i="1"/>
  <c r="AC327" i="1"/>
  <c r="F320" i="1"/>
  <c r="J327" i="1"/>
  <c r="J358" i="1" s="1"/>
  <c r="G330" i="1"/>
  <c r="J331" i="1"/>
  <c r="Z333" i="1"/>
  <c r="AA342" i="1"/>
  <c r="AD374" i="1"/>
  <c r="X345" i="1"/>
  <c r="X339" i="1"/>
  <c r="AB310" i="1"/>
  <c r="AD327" i="1"/>
  <c r="AD358" i="1" s="1"/>
  <c r="Y366" i="1"/>
  <c r="Y374" i="1" s="1"/>
  <c r="Y388" i="1"/>
  <c r="AA343" i="1"/>
  <c r="AB376" i="1"/>
  <c r="AA335" i="1"/>
  <c r="AB329" i="1"/>
  <c r="AB335" i="1" s="1"/>
  <c r="AB337" i="1"/>
  <c r="AB345" i="1"/>
  <c r="J333" i="1"/>
  <c r="AA376" i="1"/>
  <c r="H402" i="1"/>
  <c r="H459" i="1"/>
  <c r="H415" i="1"/>
  <c r="AB301" i="1"/>
  <c r="Z308" i="1"/>
  <c r="J325" i="1"/>
  <c r="J356" i="1" s="1"/>
  <c r="J321" i="1"/>
  <c r="J309" i="1"/>
  <c r="H332" i="1"/>
  <c r="H310" i="1"/>
  <c r="Y304" i="1"/>
  <c r="AA310" i="1" s="1"/>
  <c r="AD310" i="1"/>
  <c r="J315" i="1"/>
  <c r="G321" i="1"/>
  <c r="G364" i="1"/>
  <c r="F387" i="1"/>
  <c r="F374" i="1"/>
  <c r="AC342" i="1"/>
  <c r="AD376" i="1"/>
  <c r="AD301" i="1"/>
  <c r="AA302" i="1"/>
  <c r="I326" i="1"/>
  <c r="I357" i="1" s="1"/>
  <c r="I363" i="1" s="1"/>
  <c r="I310" i="1"/>
  <c r="AB327" i="1"/>
  <c r="AB358" i="1" s="1"/>
  <c r="AB364" i="1" s="1"/>
  <c r="H308" i="1"/>
  <c r="AB309" i="1"/>
  <c r="J311" i="1"/>
  <c r="H316" i="1"/>
  <c r="J330" i="1"/>
  <c r="AC336" i="1"/>
  <c r="I338" i="1"/>
  <c r="Y345" i="1"/>
  <c r="G374" i="1"/>
  <c r="H367" i="1"/>
  <c r="G289" i="1"/>
  <c r="G295" i="1" s="1"/>
  <c r="G376" i="1"/>
  <c r="G367" i="1"/>
  <c r="Y389" i="1"/>
  <c r="J402" i="1"/>
  <c r="G440" i="1"/>
  <c r="H320" i="1"/>
  <c r="H317" i="1"/>
  <c r="Y305" i="1"/>
  <c r="Y327" i="1" s="1"/>
  <c r="AB311" i="1"/>
  <c r="Z338" i="1"/>
  <c r="H440" i="1"/>
  <c r="G316" i="1"/>
  <c r="I311" i="1"/>
  <c r="I377" i="1"/>
  <c r="I378" i="1"/>
  <c r="P278" i="1"/>
  <c r="H376" i="1"/>
  <c r="Z376" i="1"/>
  <c r="AB378" i="1" l="1"/>
  <c r="AB377" i="1"/>
  <c r="F342" i="1"/>
  <c r="F329" i="1"/>
  <c r="F336" i="1"/>
  <c r="AA325" i="1"/>
  <c r="AA309" i="1"/>
  <c r="AA291" i="1"/>
  <c r="AA297" i="1" s="1"/>
  <c r="G378" i="1"/>
  <c r="G377" i="1"/>
  <c r="AD323" i="1"/>
  <c r="AD354" i="1" s="1"/>
  <c r="AD360" i="1" s="1"/>
  <c r="AD307" i="1"/>
  <c r="AD289" i="1"/>
  <c r="J337" i="1"/>
  <c r="J343" i="1"/>
  <c r="I343" i="1"/>
  <c r="I337" i="1"/>
  <c r="K355" i="1"/>
  <c r="M255" i="1"/>
  <c r="M330" i="1"/>
  <c r="L261" i="1"/>
  <c r="N293" i="1"/>
  <c r="X329" i="1"/>
  <c r="X335" i="1" s="1"/>
  <c r="X342" i="1"/>
  <c r="X336" i="1"/>
  <c r="AA275" i="1"/>
  <c r="AB272" i="1"/>
  <c r="AB274" i="1" s="1"/>
  <c r="AA276" i="1"/>
  <c r="M14" i="1"/>
  <c r="G274" i="1"/>
  <c r="G275" i="1"/>
  <c r="G276" i="1"/>
  <c r="Z66" i="1"/>
  <c r="Z74" i="1"/>
  <c r="H276" i="1"/>
  <c r="H108" i="1"/>
  <c r="I272" i="1"/>
  <c r="H275" i="1"/>
  <c r="I118" i="1"/>
  <c r="I119" i="1"/>
  <c r="I121" i="1" s="1"/>
  <c r="N12" i="1"/>
  <c r="K144" i="1"/>
  <c r="K98" i="1"/>
  <c r="L135" i="1"/>
  <c r="J77" i="1"/>
  <c r="J79" i="1"/>
  <c r="AD74" i="1"/>
  <c r="AD66" i="1"/>
  <c r="AC65" i="1"/>
  <c r="AC33" i="1"/>
  <c r="N49" i="1"/>
  <c r="I307" i="1"/>
  <c r="I314" i="1"/>
  <c r="I289" i="1"/>
  <c r="I317" i="1"/>
  <c r="I316" i="1"/>
  <c r="F66" i="1"/>
  <c r="F74" i="1"/>
  <c r="F62" i="1"/>
  <c r="F63" i="1" s="1"/>
  <c r="M257" i="1"/>
  <c r="M332" i="1" s="1"/>
  <c r="L263" i="1"/>
  <c r="P127" i="1"/>
  <c r="O216" i="1"/>
  <c r="I123" i="1"/>
  <c r="H123" i="1"/>
  <c r="AD272" i="1"/>
  <c r="AD274" i="1" s="1"/>
  <c r="AA65" i="1"/>
  <c r="L264" i="1"/>
  <c r="M258" i="1"/>
  <c r="M333" i="1" s="1"/>
  <c r="AA207" i="1"/>
  <c r="P59" i="1"/>
  <c r="G342" i="1"/>
  <c r="G336" i="1"/>
  <c r="G329" i="1"/>
  <c r="Y291" i="1"/>
  <c r="Z295" i="1"/>
  <c r="AD377" i="1"/>
  <c r="AD378" i="1"/>
  <c r="AA378" i="1"/>
  <c r="AD276" i="1"/>
  <c r="AD46" i="1"/>
  <c r="AC377" i="1"/>
  <c r="AC378" i="1"/>
  <c r="Y66" i="1"/>
  <c r="Y74" i="1"/>
  <c r="Y289" i="1"/>
  <c r="Y376" i="1"/>
  <c r="Y378" i="1" s="1"/>
  <c r="AA311" i="1"/>
  <c r="K117" i="1"/>
  <c r="K204" i="1" s="1"/>
  <c r="Y330" i="1"/>
  <c r="J272" i="1"/>
  <c r="I275" i="1"/>
  <c r="I276" i="1"/>
  <c r="I108" i="1"/>
  <c r="Z285" i="1"/>
  <c r="Y293" i="1"/>
  <c r="J377" i="1"/>
  <c r="J378" i="1"/>
  <c r="K358" i="1"/>
  <c r="G118" i="1"/>
  <c r="G119" i="1"/>
  <c r="G121" i="1" s="1"/>
  <c r="Y301" i="1"/>
  <c r="AB323" i="1"/>
  <c r="AB354" i="1" s="1"/>
  <c r="AB307" i="1"/>
  <c r="AB289" i="1"/>
  <c r="AB295" i="1" s="1"/>
  <c r="H118" i="1"/>
  <c r="H119" i="1"/>
  <c r="H121" i="1" s="1"/>
  <c r="J362" i="1"/>
  <c r="K356" i="1"/>
  <c r="AC301" i="1"/>
  <c r="AC324" i="1"/>
  <c r="AC308" i="1"/>
  <c r="J275" i="1"/>
  <c r="J276" i="1"/>
  <c r="K272" i="1"/>
  <c r="J46" i="1"/>
  <c r="J108" i="1"/>
  <c r="K108" i="1" s="1"/>
  <c r="Y331" i="1"/>
  <c r="H337" i="1"/>
  <c r="H329" i="1"/>
  <c r="H343" i="1"/>
  <c r="J307" i="1"/>
  <c r="N262" i="1"/>
  <c r="O331" i="1"/>
  <c r="O256" i="1"/>
  <c r="Y292" i="1"/>
  <c r="AA298" i="1" s="1"/>
  <c r="J345" i="1"/>
  <c r="J339" i="1"/>
  <c r="I315" i="1"/>
  <c r="I79" i="1"/>
  <c r="I77" i="1"/>
  <c r="L43" i="1"/>
  <c r="AC290" i="1"/>
  <c r="AC296" i="1" s="1"/>
  <c r="J363" i="1"/>
  <c r="K357" i="1"/>
  <c r="AA299" i="1"/>
  <c r="AA367" i="1"/>
  <c r="I325" i="1"/>
  <c r="I356" i="1" s="1"/>
  <c r="I362" i="1" s="1"/>
  <c r="O137" i="1"/>
  <c r="N136" i="1"/>
  <c r="N331" i="1"/>
  <c r="AB79" i="1"/>
  <c r="AB77" i="1"/>
  <c r="Z378" i="1"/>
  <c r="Z377" i="1"/>
  <c r="H344" i="1"/>
  <c r="H338" i="1"/>
  <c r="Y332" i="1"/>
  <c r="AD364" i="1"/>
  <c r="M290" i="1"/>
  <c r="M292" i="1"/>
  <c r="K268" i="1"/>
  <c r="K260" i="1"/>
  <c r="K41" i="1"/>
  <c r="K40" i="1" s="1"/>
  <c r="N286" i="1"/>
  <c r="N280" i="1" s="1"/>
  <c r="O283" i="1"/>
  <c r="N277" i="1"/>
  <c r="M291" i="1"/>
  <c r="I342" i="1"/>
  <c r="I336" i="1"/>
  <c r="I324" i="1"/>
  <c r="I355" i="1" s="1"/>
  <c r="I361" i="1" s="1"/>
  <c r="M374" i="1"/>
  <c r="L332" i="1"/>
  <c r="X66" i="1"/>
  <c r="X74" i="1"/>
  <c r="K128" i="1"/>
  <c r="K205" i="1" s="1"/>
  <c r="K267" i="1"/>
  <c r="R279" i="1"/>
  <c r="S285" i="1"/>
  <c r="M56" i="1"/>
  <c r="G116" i="1"/>
  <c r="H377" i="1"/>
  <c r="H378" i="1"/>
  <c r="J336" i="1"/>
  <c r="J329" i="1"/>
  <c r="J342" i="1"/>
  <c r="AA324" i="1"/>
  <c r="AA308" i="1"/>
  <c r="AA290" i="1"/>
  <c r="AA296" i="1" s="1"/>
  <c r="AA301" i="1"/>
  <c r="Y387" i="1"/>
  <c r="Z339" i="1"/>
  <c r="I333" i="1"/>
  <c r="Z345" i="1"/>
  <c r="H323" i="1"/>
  <c r="H354" i="1" s="1"/>
  <c r="H314" i="1"/>
  <c r="H307" i="1"/>
  <c r="H289" i="1"/>
  <c r="H295" i="1" s="1"/>
  <c r="Z284" i="1"/>
  <c r="L330" i="1"/>
  <c r="Z329" i="1"/>
  <c r="AC309" i="1"/>
  <c r="X323" i="1"/>
  <c r="X354" i="1" s="1"/>
  <c r="X289" i="1"/>
  <c r="AB276" i="1"/>
  <c r="AB275" i="1"/>
  <c r="AC272" i="1"/>
  <c r="AC274" i="1" s="1"/>
  <c r="AB46" i="1"/>
  <c r="AC46" i="1"/>
  <c r="G79" i="1"/>
  <c r="G77" i="1"/>
  <c r="AC39" i="1"/>
  <c r="P10" i="1"/>
  <c r="H360" i="1" l="1"/>
  <c r="N56" i="1"/>
  <c r="I203" i="1"/>
  <c r="I209" i="1" s="1"/>
  <c r="I83" i="1"/>
  <c r="I80" i="1"/>
  <c r="I81" i="1"/>
  <c r="L108" i="1"/>
  <c r="L356" i="1"/>
  <c r="K325" i="1"/>
  <c r="K303" i="1" s="1"/>
  <c r="AD286" i="1"/>
  <c r="AD283" i="1"/>
  <c r="AD285" i="1"/>
  <c r="AD284" i="1"/>
  <c r="G335" i="1"/>
  <c r="G341" i="1"/>
  <c r="G323" i="1"/>
  <c r="G354" i="1" s="1"/>
  <c r="O293" i="1"/>
  <c r="G203" i="1"/>
  <c r="G209" i="1" s="1"/>
  <c r="G81" i="1"/>
  <c r="G80" i="1"/>
  <c r="G83" i="1"/>
  <c r="T285" i="1"/>
  <c r="S279" i="1"/>
  <c r="I286" i="1"/>
  <c r="I283" i="1"/>
  <c r="I284" i="1"/>
  <c r="I285" i="1"/>
  <c r="Q127" i="1"/>
  <c r="P216" i="1"/>
  <c r="K168" i="1"/>
  <c r="K175" i="1"/>
  <c r="H286" i="1"/>
  <c r="H283" i="1"/>
  <c r="H284" i="1"/>
  <c r="H285" i="1"/>
  <c r="AA284" i="1"/>
  <c r="AA283" i="1"/>
  <c r="AA285" i="1"/>
  <c r="AA286" i="1"/>
  <c r="Z335" i="1"/>
  <c r="Z323" i="1"/>
  <c r="Z354" i="1" s="1"/>
  <c r="Z360" i="1" s="1"/>
  <c r="I345" i="1"/>
  <c r="I339" i="1"/>
  <c r="I327" i="1"/>
  <c r="I358" i="1" s="1"/>
  <c r="J335" i="1"/>
  <c r="J341" i="1"/>
  <c r="J323" i="1"/>
  <c r="J354" i="1" s="1"/>
  <c r="N374" i="1"/>
  <c r="N290" i="1"/>
  <c r="K326" i="1"/>
  <c r="K304" i="1" s="1"/>
  <c r="L357" i="1"/>
  <c r="K287" i="1"/>
  <c r="K274" i="1"/>
  <c r="L358" i="1"/>
  <c r="K327" i="1"/>
  <c r="K305" i="1" s="1"/>
  <c r="Y77" i="1"/>
  <c r="Y79" i="1"/>
  <c r="AA377" i="1"/>
  <c r="AA66" i="1"/>
  <c r="AA74" i="1"/>
  <c r="AC74" i="1"/>
  <c r="AC66" i="1"/>
  <c r="O12" i="1"/>
  <c r="Z77" i="1"/>
  <c r="Z79" i="1"/>
  <c r="L329" i="1"/>
  <c r="AC297" i="1"/>
  <c r="P283" i="1"/>
  <c r="O286" i="1"/>
  <c r="O280" i="1" s="1"/>
  <c r="O277" i="1"/>
  <c r="AB81" i="1"/>
  <c r="AB203" i="1"/>
  <c r="AB209" i="1" s="1"/>
  <c r="AB83" i="1"/>
  <c r="AB80" i="1"/>
  <c r="J285" i="1"/>
  <c r="J284" i="1"/>
  <c r="J137" i="1"/>
  <c r="J283" i="1"/>
  <c r="J286" i="1"/>
  <c r="J274" i="1"/>
  <c r="J116" i="1"/>
  <c r="K116" i="1" s="1"/>
  <c r="M329" i="1"/>
  <c r="AD295" i="1"/>
  <c r="K130" i="1"/>
  <c r="K131" i="1" s="1"/>
  <c r="H335" i="1"/>
  <c r="H341" i="1"/>
  <c r="Y329" i="1"/>
  <c r="Y335" i="1" s="1"/>
  <c r="Y342" i="1"/>
  <c r="Y336" i="1"/>
  <c r="Y324" i="1"/>
  <c r="Q59" i="1"/>
  <c r="AC276" i="1"/>
  <c r="I295" i="1"/>
  <c r="AD79" i="1"/>
  <c r="AD77" i="1"/>
  <c r="G283" i="1"/>
  <c r="G286" i="1"/>
  <c r="G284" i="1"/>
  <c r="G285" i="1"/>
  <c r="N330" i="1"/>
  <c r="M261" i="1"/>
  <c r="N255" i="1"/>
  <c r="F335" i="1"/>
  <c r="F341" i="1"/>
  <c r="F323" i="1"/>
  <c r="F354" i="1" s="1"/>
  <c r="N291" i="1"/>
  <c r="N292" i="1"/>
  <c r="AA307" i="1"/>
  <c r="AA323" i="1"/>
  <c r="AA289" i="1"/>
  <c r="AA295" i="1" s="1"/>
  <c r="Y344" i="1"/>
  <c r="Y338" i="1"/>
  <c r="M43" i="1"/>
  <c r="Y326" i="1"/>
  <c r="K48" i="1"/>
  <c r="AC275" i="1"/>
  <c r="N332" i="1"/>
  <c r="M263" i="1"/>
  <c r="N257" i="1"/>
  <c r="J83" i="1"/>
  <c r="J203" i="1"/>
  <c r="J209" i="1" s="1"/>
  <c r="J80" i="1"/>
  <c r="J81" i="1"/>
  <c r="K324" i="1"/>
  <c r="K302" i="1" s="1"/>
  <c r="L355" i="1"/>
  <c r="Q10" i="1"/>
  <c r="AB286" i="1"/>
  <c r="AB284" i="1"/>
  <c r="AB283" i="1"/>
  <c r="AB285" i="1"/>
  <c r="X77" i="1"/>
  <c r="X79" i="1"/>
  <c r="O136" i="1"/>
  <c r="P137" i="1"/>
  <c r="Y337" i="1"/>
  <c r="Y343" i="1"/>
  <c r="AB360" i="1"/>
  <c r="M264" i="1"/>
  <c r="N258" i="1"/>
  <c r="J361" i="1"/>
  <c r="I329" i="1"/>
  <c r="P331" i="1"/>
  <c r="O262" i="1"/>
  <c r="P256" i="1"/>
  <c r="J295" i="1"/>
  <c r="AC307" i="1"/>
  <c r="AC323" i="1"/>
  <c r="AC289" i="1"/>
  <c r="AC295" i="1" s="1"/>
  <c r="Y323" i="1"/>
  <c r="AD275" i="1"/>
  <c r="Y325" i="1"/>
  <c r="F79" i="1"/>
  <c r="F77" i="1"/>
  <c r="O49" i="1"/>
  <c r="L138" i="1"/>
  <c r="L206" i="1" s="1"/>
  <c r="L224" i="1" s="1"/>
  <c r="I274" i="1"/>
  <c r="I116" i="1"/>
  <c r="N14" i="1"/>
  <c r="L140" i="1" l="1"/>
  <c r="L141" i="1" s="1"/>
  <c r="O292" i="1"/>
  <c r="O255" i="1"/>
  <c r="N261" i="1"/>
  <c r="AD203" i="1"/>
  <c r="AD209" i="1" s="1"/>
  <c r="AD81" i="1"/>
  <c r="AD80" i="1"/>
  <c r="AD83" i="1"/>
  <c r="P12" i="1"/>
  <c r="I335" i="1"/>
  <c r="I341" i="1"/>
  <c r="I323" i="1"/>
  <c r="I354" i="1" s="1"/>
  <c r="I360" i="1" s="1"/>
  <c r="N43" i="1"/>
  <c r="K371" i="1"/>
  <c r="K311" i="1"/>
  <c r="P293" i="1"/>
  <c r="P49" i="1"/>
  <c r="P136" i="1"/>
  <c r="Q137" i="1"/>
  <c r="R10" i="1"/>
  <c r="O257" i="1"/>
  <c r="O332" i="1"/>
  <c r="N263" i="1"/>
  <c r="O291" i="1"/>
  <c r="AC283" i="1"/>
  <c r="AC284" i="1"/>
  <c r="AC286" i="1"/>
  <c r="AC285" i="1"/>
  <c r="L327" i="1"/>
  <c r="L305" i="1" s="1"/>
  <c r="M358" i="1"/>
  <c r="O374" i="1"/>
  <c r="K321" i="1"/>
  <c r="K309" i="1"/>
  <c r="K315" i="1"/>
  <c r="K369" i="1"/>
  <c r="O56" i="1"/>
  <c r="O333" i="1"/>
  <c r="N264" i="1"/>
  <c r="O258" i="1"/>
  <c r="R59" i="1"/>
  <c r="L126" i="1"/>
  <c r="K100" i="1"/>
  <c r="P286" i="1"/>
  <c r="P280" i="1" s="1"/>
  <c r="P277" i="1"/>
  <c r="Q283" i="1"/>
  <c r="AC79" i="1"/>
  <c r="AC77" i="1"/>
  <c r="J360" i="1"/>
  <c r="G360" i="1"/>
  <c r="M356" i="1"/>
  <c r="L325" i="1"/>
  <c r="L303" i="1" s="1"/>
  <c r="Y203" i="1"/>
  <c r="Y80" i="1"/>
  <c r="Y81" i="1"/>
  <c r="Y83" i="1"/>
  <c r="O290" i="1"/>
  <c r="O14" i="1"/>
  <c r="X80" i="1"/>
  <c r="X81" i="1"/>
  <c r="X83" i="1"/>
  <c r="X203" i="1"/>
  <c r="L324" i="1"/>
  <c r="L302" i="1" s="1"/>
  <c r="M355" i="1"/>
  <c r="AA79" i="1"/>
  <c r="AA77" i="1"/>
  <c r="K45" i="1"/>
  <c r="L272" i="1"/>
  <c r="U285" i="1"/>
  <c r="U279" i="1" s="1"/>
  <c r="T279" i="1"/>
  <c r="M108" i="1"/>
  <c r="F203" i="1"/>
  <c r="F209" i="1" s="1"/>
  <c r="F81" i="1"/>
  <c r="F80" i="1"/>
  <c r="F83" i="1"/>
  <c r="P262" i="1"/>
  <c r="Q256" i="1"/>
  <c r="N333" i="1"/>
  <c r="N329" i="1" s="1"/>
  <c r="K301" i="1"/>
  <c r="K308" i="1"/>
  <c r="K314" i="1"/>
  <c r="K320" i="1"/>
  <c r="K368" i="1"/>
  <c r="L326" i="1"/>
  <c r="L304" i="1" s="1"/>
  <c r="M357" i="1"/>
  <c r="K107" i="1"/>
  <c r="K115" i="1"/>
  <c r="K113" i="1" s="1"/>
  <c r="L116" i="1"/>
  <c r="Z203" i="1"/>
  <c r="Z209" i="1" s="1"/>
  <c r="Z80" i="1"/>
  <c r="Z81" i="1"/>
  <c r="Z83" i="1"/>
  <c r="K316" i="1"/>
  <c r="K310" i="1"/>
  <c r="K370" i="1"/>
  <c r="I364" i="1"/>
  <c r="J364" i="1"/>
  <c r="Q216" i="1"/>
  <c r="R127" i="1"/>
  <c r="L115" i="1" l="1"/>
  <c r="L113" i="1" s="1"/>
  <c r="L215" i="1" s="1"/>
  <c r="M116" i="1"/>
  <c r="S59" i="1"/>
  <c r="L274" i="1"/>
  <c r="L287" i="1"/>
  <c r="K215" i="1"/>
  <c r="K119" i="1"/>
  <c r="K120" i="1" s="1"/>
  <c r="K307" i="1"/>
  <c r="K323" i="1"/>
  <c r="AC203" i="1"/>
  <c r="AC209" i="1" s="1"/>
  <c r="AC81" i="1"/>
  <c r="AC80" i="1"/>
  <c r="AC83" i="1"/>
  <c r="P258" i="1"/>
  <c r="P333" i="1"/>
  <c r="O264" i="1"/>
  <c r="P332" i="1"/>
  <c r="P257" i="1"/>
  <c r="O263" i="1"/>
  <c r="Q293" i="1"/>
  <c r="Q49" i="1"/>
  <c r="P14" i="1"/>
  <c r="Q286" i="1"/>
  <c r="Q280" i="1" s="1"/>
  <c r="R283" i="1"/>
  <c r="Q277" i="1"/>
  <c r="S10" i="1"/>
  <c r="O261" i="1"/>
  <c r="P255" i="1"/>
  <c r="N357" i="1"/>
  <c r="M326" i="1"/>
  <c r="M304" i="1" s="1"/>
  <c r="R256" i="1"/>
  <c r="R331" i="1"/>
  <c r="Q262" i="1"/>
  <c r="N108" i="1"/>
  <c r="AA80" i="1"/>
  <c r="AA203" i="1"/>
  <c r="AA209" i="1" s="1"/>
  <c r="AA81" i="1"/>
  <c r="AA83" i="1"/>
  <c r="L309" i="1"/>
  <c r="L321" i="1"/>
  <c r="L315" i="1"/>
  <c r="L369" i="1"/>
  <c r="K317" i="1"/>
  <c r="Q12" i="1"/>
  <c r="O330" i="1"/>
  <c r="O329" i="1" s="1"/>
  <c r="L316" i="1"/>
  <c r="L310" i="1"/>
  <c r="L370" i="1"/>
  <c r="M324" i="1"/>
  <c r="M302" i="1" s="1"/>
  <c r="N355" i="1"/>
  <c r="N356" i="1"/>
  <c r="M325" i="1"/>
  <c r="M303" i="1" s="1"/>
  <c r="P374" i="1"/>
  <c r="P291" i="1"/>
  <c r="R137" i="1"/>
  <c r="Q136" i="1"/>
  <c r="P292" i="1"/>
  <c r="S127" i="1"/>
  <c r="R216" i="1"/>
  <c r="K366" i="1"/>
  <c r="L308" i="1"/>
  <c r="L314" i="1"/>
  <c r="L320" i="1"/>
  <c r="L301" i="1"/>
  <c r="L368" i="1"/>
  <c r="P290" i="1"/>
  <c r="M327" i="1"/>
  <c r="M305" i="1" s="1"/>
  <c r="N358" i="1"/>
  <c r="Q331" i="1"/>
  <c r="L128" i="1"/>
  <c r="L205" i="1" s="1"/>
  <c r="P56" i="1"/>
  <c r="L317" i="1"/>
  <c r="L311" i="1"/>
  <c r="L371" i="1"/>
  <c r="O43" i="1"/>
  <c r="L144" i="1"/>
  <c r="L98" i="1"/>
  <c r="M135" i="1"/>
  <c r="N324" i="1" l="1"/>
  <c r="N302" i="1" s="1"/>
  <c r="O355" i="1"/>
  <c r="O357" i="1"/>
  <c r="N326" i="1"/>
  <c r="N304" i="1" s="1"/>
  <c r="R286" i="1"/>
  <c r="R280" i="1" s="1"/>
  <c r="R277" i="1"/>
  <c r="S283" i="1"/>
  <c r="K122" i="1"/>
  <c r="K123" i="1" s="1"/>
  <c r="K97" i="1"/>
  <c r="K95" i="1" s="1"/>
  <c r="L112" i="1"/>
  <c r="P43" i="1"/>
  <c r="R136" i="1"/>
  <c r="S137" i="1"/>
  <c r="M314" i="1"/>
  <c r="M308" i="1"/>
  <c r="M301" i="1"/>
  <c r="M320" i="1"/>
  <c r="M368" i="1"/>
  <c r="P261" i="1"/>
  <c r="Q255" i="1"/>
  <c r="N327" i="1"/>
  <c r="N305" i="1" s="1"/>
  <c r="O358" i="1"/>
  <c r="Q291" i="1"/>
  <c r="O108" i="1"/>
  <c r="Q332" i="1"/>
  <c r="P263" i="1"/>
  <c r="Q257" i="1"/>
  <c r="M272" i="1"/>
  <c r="L254" i="1"/>
  <c r="L45" i="1"/>
  <c r="L107" i="1"/>
  <c r="M317" i="1"/>
  <c r="M311" i="1"/>
  <c r="M371" i="1"/>
  <c r="K367" i="1"/>
  <c r="K289" i="1"/>
  <c r="K295" i="1" s="1"/>
  <c r="K373" i="1"/>
  <c r="K376" i="1" s="1"/>
  <c r="P330" i="1"/>
  <c r="P329" i="1" s="1"/>
  <c r="Q14" i="1"/>
  <c r="R49" i="1"/>
  <c r="T59" i="1"/>
  <c r="M138" i="1"/>
  <c r="M206" i="1" s="1"/>
  <c r="M224" i="1" s="1"/>
  <c r="M140" i="1"/>
  <c r="M141" i="1" s="1"/>
  <c r="Q290" i="1"/>
  <c r="T127" i="1"/>
  <c r="S216" i="1"/>
  <c r="Q374" i="1"/>
  <c r="Q56" i="1"/>
  <c r="L366" i="1"/>
  <c r="Q292" i="1"/>
  <c r="M309" i="1"/>
  <c r="M321" i="1"/>
  <c r="M315" i="1"/>
  <c r="M369" i="1"/>
  <c r="R12" i="1"/>
  <c r="S331" i="1"/>
  <c r="S256" i="1"/>
  <c r="R262" i="1"/>
  <c r="T10" i="1"/>
  <c r="R293" i="1"/>
  <c r="N116" i="1"/>
  <c r="M115" i="1"/>
  <c r="M113" i="1" s="1"/>
  <c r="M215" i="1" s="1"/>
  <c r="L175" i="1"/>
  <c r="L168" i="1"/>
  <c r="L130" i="1"/>
  <c r="L131" i="1" s="1"/>
  <c r="L307" i="1"/>
  <c r="L323" i="1"/>
  <c r="O356" i="1"/>
  <c r="N325" i="1"/>
  <c r="N303" i="1" s="1"/>
  <c r="M310" i="1"/>
  <c r="M316" i="1"/>
  <c r="M370" i="1"/>
  <c r="Q258" i="1"/>
  <c r="P264" i="1"/>
  <c r="K377" i="1" l="1"/>
  <c r="K8" i="1"/>
  <c r="R292" i="1"/>
  <c r="T216" i="1"/>
  <c r="U127" i="1"/>
  <c r="U216" i="1" s="1"/>
  <c r="S49" i="1"/>
  <c r="N311" i="1"/>
  <c r="N371" i="1"/>
  <c r="N315" i="1"/>
  <c r="N321" i="1"/>
  <c r="N309" i="1"/>
  <c r="N369" i="1"/>
  <c r="O116" i="1"/>
  <c r="R290" i="1"/>
  <c r="Q261" i="1"/>
  <c r="R255" i="1"/>
  <c r="T283" i="1"/>
  <c r="S286" i="1"/>
  <c r="S280" i="1" s="1"/>
  <c r="S277" i="1"/>
  <c r="P356" i="1"/>
  <c r="O325" i="1"/>
  <c r="O303" i="1" s="1"/>
  <c r="S293" i="1"/>
  <c r="L367" i="1"/>
  <c r="L376" i="1"/>
  <c r="L289" i="1"/>
  <c r="L295" i="1" s="1"/>
  <c r="L373" i="1"/>
  <c r="R14" i="1"/>
  <c r="S136" i="1"/>
  <c r="T137" i="1"/>
  <c r="Q264" i="1"/>
  <c r="R333" i="1"/>
  <c r="R258" i="1"/>
  <c r="S12" i="1"/>
  <c r="P108" i="1"/>
  <c r="Q330" i="1"/>
  <c r="Q333" i="1"/>
  <c r="R56" i="1"/>
  <c r="Q43" i="1"/>
  <c r="R374" i="1"/>
  <c r="U59" i="1"/>
  <c r="M274" i="1"/>
  <c r="M287" i="1"/>
  <c r="L117" i="1"/>
  <c r="L204" i="1" s="1"/>
  <c r="L48" i="1" s="1"/>
  <c r="P355" i="1"/>
  <c r="O324" i="1"/>
  <c r="O302" i="1" s="1"/>
  <c r="N135" i="1"/>
  <c r="M144" i="1"/>
  <c r="M98" i="1"/>
  <c r="U10" i="1"/>
  <c r="N310" i="1"/>
  <c r="N316" i="1"/>
  <c r="N370" i="1"/>
  <c r="L100" i="1"/>
  <c r="M126" i="1"/>
  <c r="L260" i="1"/>
  <c r="L41" i="1"/>
  <c r="L40" i="1" s="1"/>
  <c r="L268" i="1"/>
  <c r="L267" i="1"/>
  <c r="L269" i="1"/>
  <c r="L270" i="1"/>
  <c r="R291" i="1"/>
  <c r="M366" i="1"/>
  <c r="P357" i="1"/>
  <c r="O326" i="1"/>
  <c r="O304" i="1" s="1"/>
  <c r="M168" i="1"/>
  <c r="M175" i="1"/>
  <c r="T256" i="1"/>
  <c r="S262" i="1"/>
  <c r="Q263" i="1"/>
  <c r="R257" i="1"/>
  <c r="R332" i="1"/>
  <c r="O327" i="1"/>
  <c r="O305" i="1" s="1"/>
  <c r="P358" i="1"/>
  <c r="M307" i="1"/>
  <c r="M323" i="1"/>
  <c r="N301" i="1"/>
  <c r="N314" i="1"/>
  <c r="N308" i="1"/>
  <c r="N320" i="1"/>
  <c r="N368" i="1"/>
  <c r="N366" i="1" s="1"/>
  <c r="U256" i="1" l="1"/>
  <c r="T262" i="1"/>
  <c r="L377" i="1"/>
  <c r="L8" i="1"/>
  <c r="U283" i="1"/>
  <c r="T286" i="1"/>
  <c r="T280" i="1" s="1"/>
  <c r="T277" i="1"/>
  <c r="T49" i="1"/>
  <c r="P327" i="1"/>
  <c r="P305" i="1" s="1"/>
  <c r="Q358" i="1"/>
  <c r="S291" i="1"/>
  <c r="N138" i="1"/>
  <c r="N206" i="1" s="1"/>
  <c r="N224" i="1" s="1"/>
  <c r="N140" i="1"/>
  <c r="N141" i="1" s="1"/>
  <c r="N289" i="1"/>
  <c r="N367" i="1"/>
  <c r="N373" i="1"/>
  <c r="N376" i="1" s="1"/>
  <c r="O317" i="1"/>
  <c r="O311" i="1"/>
  <c r="O371" i="1"/>
  <c r="O301" i="1"/>
  <c r="O308" i="1"/>
  <c r="O320" i="1"/>
  <c r="O368" i="1"/>
  <c r="Q329" i="1"/>
  <c r="R261" i="1"/>
  <c r="S255" i="1"/>
  <c r="P324" i="1"/>
  <c r="P302" i="1" s="1"/>
  <c r="Q355" i="1"/>
  <c r="S374" i="1"/>
  <c r="Q108" i="1"/>
  <c r="T136" i="1"/>
  <c r="U137" i="1"/>
  <c r="U136" i="1" s="1"/>
  <c r="T293" i="1"/>
  <c r="S257" i="1"/>
  <c r="R263" i="1"/>
  <c r="O316" i="1"/>
  <c r="O310" i="1"/>
  <c r="O370" i="1"/>
  <c r="L119" i="1"/>
  <c r="L120" i="1" s="1"/>
  <c r="R43" i="1"/>
  <c r="T12" i="1"/>
  <c r="O321" i="1"/>
  <c r="O315" i="1"/>
  <c r="O309" i="1"/>
  <c r="O369" i="1"/>
  <c r="R330" i="1"/>
  <c r="R329" i="1" s="1"/>
  <c r="S292" i="1"/>
  <c r="N307" i="1"/>
  <c r="N323" i="1"/>
  <c r="P326" i="1"/>
  <c r="P304" i="1" s="1"/>
  <c r="Q357" i="1"/>
  <c r="M254" i="1"/>
  <c r="N272" i="1"/>
  <c r="M45" i="1"/>
  <c r="M107" i="1"/>
  <c r="S14" i="1"/>
  <c r="Q356" i="1"/>
  <c r="P325" i="1"/>
  <c r="P303" i="1" s="1"/>
  <c r="S290" i="1"/>
  <c r="M367" i="1"/>
  <c r="M289" i="1"/>
  <c r="M295" i="1" s="1"/>
  <c r="M373" i="1"/>
  <c r="M376" i="1" s="1"/>
  <c r="S56" i="1"/>
  <c r="R264" i="1"/>
  <c r="S258" i="1"/>
  <c r="K9" i="1"/>
  <c r="K19" i="1"/>
  <c r="K5" i="1"/>
  <c r="T331" i="1"/>
  <c r="M128" i="1"/>
  <c r="M205" i="1" s="1"/>
  <c r="P116" i="1"/>
  <c r="N317" i="1"/>
  <c r="N377" i="1" l="1"/>
  <c r="N8" i="1"/>
  <c r="M8" i="1"/>
  <c r="M377" i="1"/>
  <c r="R357" i="1"/>
  <c r="Q326" i="1"/>
  <c r="Q304" i="1" s="1"/>
  <c r="T374" i="1"/>
  <c r="U286" i="1"/>
  <c r="U280" i="1" s="1"/>
  <c r="U277" i="1"/>
  <c r="T14" i="1"/>
  <c r="P310" i="1"/>
  <c r="P370" i="1"/>
  <c r="T291" i="1"/>
  <c r="L5" i="1"/>
  <c r="L9" i="1"/>
  <c r="Q116" i="1"/>
  <c r="T258" i="1"/>
  <c r="S264" i="1"/>
  <c r="Q324" i="1"/>
  <c r="Q302" i="1" s="1"/>
  <c r="R355" i="1"/>
  <c r="O366" i="1"/>
  <c r="Q327" i="1"/>
  <c r="Q305" i="1" s="1"/>
  <c r="R358" i="1"/>
  <c r="U12" i="1"/>
  <c r="U293" i="1"/>
  <c r="P320" i="1"/>
  <c r="P301" i="1"/>
  <c r="P308" i="1"/>
  <c r="P368" i="1"/>
  <c r="P311" i="1"/>
  <c r="P371" i="1"/>
  <c r="T290" i="1"/>
  <c r="N274" i="1"/>
  <c r="N287" i="1"/>
  <c r="N115" i="1"/>
  <c r="N113" i="1" s="1"/>
  <c r="N215" i="1" s="1"/>
  <c r="N295" i="1"/>
  <c r="M130" i="1"/>
  <c r="M131" i="1" s="1"/>
  <c r="S333" i="1"/>
  <c r="M260" i="1"/>
  <c r="M41" i="1"/>
  <c r="M40" i="1" s="1"/>
  <c r="M268" i="1"/>
  <c r="M269" i="1"/>
  <c r="M270" i="1"/>
  <c r="M267" i="1"/>
  <c r="T292" i="1"/>
  <c r="T332" i="1"/>
  <c r="S263" i="1"/>
  <c r="T257" i="1"/>
  <c r="T255" i="1"/>
  <c r="T330" i="1" s="1"/>
  <c r="S261" i="1"/>
  <c r="O323" i="1"/>
  <c r="O307" i="1"/>
  <c r="U49" i="1"/>
  <c r="U262" i="1"/>
  <c r="T56" i="1"/>
  <c r="P321" i="1"/>
  <c r="P315" i="1"/>
  <c r="P309" i="1"/>
  <c r="P369" i="1"/>
  <c r="S43" i="1"/>
  <c r="O314" i="1"/>
  <c r="N144" i="1"/>
  <c r="O135" i="1"/>
  <c r="N98" i="1"/>
  <c r="K6" i="1"/>
  <c r="K21" i="1"/>
  <c r="K23" i="1"/>
  <c r="K35" i="1"/>
  <c r="K51" i="1"/>
  <c r="K32" i="1"/>
  <c r="K58" i="1"/>
  <c r="K22" i="1"/>
  <c r="K20" i="1"/>
  <c r="K47" i="1"/>
  <c r="K54" i="1"/>
  <c r="K57" i="1"/>
  <c r="K55" i="1"/>
  <c r="Q325" i="1"/>
  <c r="Q303" i="1" s="1"/>
  <c r="R356" i="1"/>
  <c r="L97" i="1"/>
  <c r="L95" i="1" s="1"/>
  <c r="L122" i="1"/>
  <c r="L123" i="1" s="1"/>
  <c r="M112" i="1"/>
  <c r="S332" i="1"/>
  <c r="R108" i="1"/>
  <c r="S330" i="1"/>
  <c r="S329" i="1" s="1"/>
  <c r="U331" i="1"/>
  <c r="P323" i="1" l="1"/>
  <c r="P307" i="1"/>
  <c r="P316" i="1"/>
  <c r="R325" i="1"/>
  <c r="R303" i="1" s="1"/>
  <c r="S356" i="1"/>
  <c r="R326" i="1"/>
  <c r="R304" i="1" s="1"/>
  <c r="S357" i="1"/>
  <c r="Q321" i="1"/>
  <c r="Q309" i="1"/>
  <c r="Q369" i="1"/>
  <c r="U56" i="1"/>
  <c r="Q311" i="1"/>
  <c r="Q371" i="1"/>
  <c r="O138" i="1"/>
  <c r="O206" i="1" s="1"/>
  <c r="O224" i="1" s="1"/>
  <c r="N175" i="1"/>
  <c r="N168" i="1"/>
  <c r="S355" i="1"/>
  <c r="R324" i="1"/>
  <c r="R302" i="1" s="1"/>
  <c r="N126" i="1"/>
  <c r="M100" i="1"/>
  <c r="Q320" i="1"/>
  <c r="Q308" i="1"/>
  <c r="Q301" i="1"/>
  <c r="Q368" i="1"/>
  <c r="L35" i="1"/>
  <c r="L6" i="1"/>
  <c r="L20" i="1"/>
  <c r="L23" i="1"/>
  <c r="L51" i="1"/>
  <c r="L32" i="1"/>
  <c r="L21" i="1"/>
  <c r="L58" i="1"/>
  <c r="L47" i="1"/>
  <c r="L22" i="1"/>
  <c r="L55" i="1"/>
  <c r="L54" i="1"/>
  <c r="L57" i="1"/>
  <c r="M5" i="1"/>
  <c r="M9" i="1"/>
  <c r="S108" i="1"/>
  <c r="L19" i="1"/>
  <c r="N9" i="1"/>
  <c r="N5" i="1"/>
  <c r="T43" i="1"/>
  <c r="P366" i="1"/>
  <c r="U291" i="1"/>
  <c r="M117" i="1"/>
  <c r="M204" i="1" s="1"/>
  <c r="M48" i="1" s="1"/>
  <c r="K38" i="1"/>
  <c r="K39" i="1" s="1"/>
  <c r="T263" i="1"/>
  <c r="U257" i="1"/>
  <c r="N254" i="1"/>
  <c r="O272" i="1"/>
  <c r="N45" i="1"/>
  <c r="N107" i="1"/>
  <c r="P314" i="1"/>
  <c r="T264" i="1"/>
  <c r="U258" i="1"/>
  <c r="U374" i="1"/>
  <c r="S358" i="1"/>
  <c r="R327" i="1"/>
  <c r="R305" i="1" s="1"/>
  <c r="T333" i="1"/>
  <c r="T329" i="1" s="1"/>
  <c r="Q310" i="1"/>
  <c r="Q370" i="1"/>
  <c r="U292" i="1"/>
  <c r="P317" i="1"/>
  <c r="U290" i="1"/>
  <c r="R116" i="1"/>
  <c r="O367" i="1"/>
  <c r="O376" i="1"/>
  <c r="O289" i="1"/>
  <c r="O295" i="1" s="1"/>
  <c r="O373" i="1"/>
  <c r="K25" i="1"/>
  <c r="U14" i="1"/>
  <c r="U255" i="1"/>
  <c r="U330" i="1"/>
  <c r="T261" i="1"/>
  <c r="N23" i="1" l="1"/>
  <c r="N6" i="1"/>
  <c r="N35" i="1"/>
  <c r="N32" i="1"/>
  <c r="N20" i="1"/>
  <c r="N51" i="1"/>
  <c r="N58" i="1"/>
  <c r="N21" i="1"/>
  <c r="N47" i="1"/>
  <c r="N22" i="1"/>
  <c r="O287" i="1"/>
  <c r="O274" i="1"/>
  <c r="O115" i="1"/>
  <c r="O113" i="1" s="1"/>
  <c r="O215" i="1" s="1"/>
  <c r="N19" i="1"/>
  <c r="T356" i="1"/>
  <c r="S325" i="1"/>
  <c r="S303" i="1" s="1"/>
  <c r="N41" i="1"/>
  <c r="N40" i="1" s="1"/>
  <c r="N260" i="1"/>
  <c r="N268" i="1"/>
  <c r="N270" i="1"/>
  <c r="N269" i="1"/>
  <c r="N267" i="1"/>
  <c r="R321" i="1"/>
  <c r="R309" i="1"/>
  <c r="R369" i="1"/>
  <c r="O140" i="1"/>
  <c r="O141" i="1" s="1"/>
  <c r="M6" i="1"/>
  <c r="M23" i="1"/>
  <c r="M35" i="1"/>
  <c r="M32" i="1"/>
  <c r="M51" i="1"/>
  <c r="M20" i="1"/>
  <c r="M21" i="1"/>
  <c r="M58" i="1"/>
  <c r="M22" i="1"/>
  <c r="M47" i="1"/>
  <c r="M55" i="1"/>
  <c r="Q307" i="1"/>
  <c r="Q323" i="1"/>
  <c r="M54" i="1"/>
  <c r="S326" i="1"/>
  <c r="S304" i="1" s="1"/>
  <c r="T357" i="1"/>
  <c r="O377" i="1"/>
  <c r="O8" i="1"/>
  <c r="N55" i="1"/>
  <c r="M57" i="1"/>
  <c r="M19" i="1"/>
  <c r="L25" i="1"/>
  <c r="Q314" i="1"/>
  <c r="R310" i="1"/>
  <c r="R316" i="1"/>
  <c r="R370" i="1"/>
  <c r="U261" i="1"/>
  <c r="M119" i="1"/>
  <c r="M120" i="1" s="1"/>
  <c r="S116" i="1"/>
  <c r="Q316" i="1"/>
  <c r="U264" i="1"/>
  <c r="U263" i="1"/>
  <c r="K65" i="1"/>
  <c r="P289" i="1"/>
  <c r="P295" i="1" s="1"/>
  <c r="P367" i="1"/>
  <c r="P373" i="1"/>
  <c r="P376" i="1" s="1"/>
  <c r="N130" i="1"/>
  <c r="N131" i="1" s="1"/>
  <c r="N128" i="1"/>
  <c r="N205" i="1" s="1"/>
  <c r="Q315" i="1"/>
  <c r="R317" i="1"/>
  <c r="R311" i="1"/>
  <c r="R371" i="1"/>
  <c r="U333" i="1"/>
  <c r="U332" i="1"/>
  <c r="U329" i="1" s="1"/>
  <c r="U43" i="1"/>
  <c r="T108" i="1"/>
  <c r="L38" i="1"/>
  <c r="L39" i="1" s="1"/>
  <c r="R320" i="1"/>
  <c r="R308" i="1"/>
  <c r="R314" i="1"/>
  <c r="R301" i="1"/>
  <c r="R368" i="1"/>
  <c r="Q317" i="1"/>
  <c r="T358" i="1"/>
  <c r="S327" i="1"/>
  <c r="S305" i="1" s="1"/>
  <c r="Q366" i="1"/>
  <c r="T355" i="1"/>
  <c r="S324" i="1"/>
  <c r="S302" i="1" s="1"/>
  <c r="P377" i="1" l="1"/>
  <c r="P8" i="1"/>
  <c r="S310" i="1"/>
  <c r="S370" i="1"/>
  <c r="Q376" i="1"/>
  <c r="Q367" i="1"/>
  <c r="Q289" i="1"/>
  <c r="Q295" i="1" s="1"/>
  <c r="Q373" i="1"/>
  <c r="N25" i="1"/>
  <c r="R366" i="1"/>
  <c r="M122" i="1"/>
  <c r="M123" i="1" s="1"/>
  <c r="M97" i="1"/>
  <c r="M95" i="1" s="1"/>
  <c r="N112" i="1"/>
  <c r="T325" i="1"/>
  <c r="T303" i="1" s="1"/>
  <c r="U356" i="1"/>
  <c r="U325" i="1" s="1"/>
  <c r="U303" i="1" s="1"/>
  <c r="P135" i="1"/>
  <c r="O98" i="1"/>
  <c r="O144" i="1"/>
  <c r="R323" i="1"/>
  <c r="R307" i="1"/>
  <c r="O126" i="1"/>
  <c r="N100" i="1"/>
  <c r="L65" i="1"/>
  <c r="U357" i="1"/>
  <c r="U326" i="1" s="1"/>
  <c r="U304" i="1" s="1"/>
  <c r="T326" i="1"/>
  <c r="T304" i="1" s="1"/>
  <c r="T324" i="1"/>
  <c r="T302" i="1" s="1"/>
  <c r="U355" i="1"/>
  <c r="U324" i="1" s="1"/>
  <c r="U302" i="1" s="1"/>
  <c r="S311" i="1"/>
  <c r="S317" i="1"/>
  <c r="S371" i="1"/>
  <c r="M25" i="1"/>
  <c r="U358" i="1"/>
  <c r="U327" i="1" s="1"/>
  <c r="U305" i="1" s="1"/>
  <c r="T327" i="1"/>
  <c r="T305" i="1" s="1"/>
  <c r="O5" i="1"/>
  <c r="O19" i="1"/>
  <c r="O9" i="1"/>
  <c r="N54" i="1"/>
  <c r="S301" i="1"/>
  <c r="S308" i="1"/>
  <c r="S314" i="1"/>
  <c r="S320" i="1"/>
  <c r="S368" i="1"/>
  <c r="O254" i="1"/>
  <c r="P272" i="1"/>
  <c r="O45" i="1"/>
  <c r="O107" i="1"/>
  <c r="U108" i="1"/>
  <c r="K62" i="1"/>
  <c r="K63" i="1" s="1"/>
  <c r="K66" i="1"/>
  <c r="T116" i="1"/>
  <c r="M38" i="1"/>
  <c r="M39" i="1" s="1"/>
  <c r="R315" i="1"/>
  <c r="S309" i="1"/>
  <c r="S321" i="1"/>
  <c r="S315" i="1"/>
  <c r="S369" i="1"/>
  <c r="O41" i="1" l="1"/>
  <c r="O40" i="1" s="1"/>
  <c r="O260" i="1"/>
  <c r="O268" i="1"/>
  <c r="O270" i="1"/>
  <c r="O267" i="1"/>
  <c r="O269" i="1"/>
  <c r="O128" i="1"/>
  <c r="O205" i="1" s="1"/>
  <c r="N117" i="1"/>
  <c r="N204" i="1" s="1"/>
  <c r="N48" i="1" s="1"/>
  <c r="S366" i="1"/>
  <c r="O32" i="1"/>
  <c r="O35" i="1"/>
  <c r="O23" i="1"/>
  <c r="O6" i="1"/>
  <c r="O20" i="1"/>
  <c r="O51" i="1"/>
  <c r="O58" i="1"/>
  <c r="O21" i="1"/>
  <c r="O47" i="1"/>
  <c r="O22" i="1"/>
  <c r="U314" i="1"/>
  <c r="U308" i="1"/>
  <c r="U320" i="1"/>
  <c r="U301" i="1"/>
  <c r="U368" i="1"/>
  <c r="Q377" i="1"/>
  <c r="Q8" i="1"/>
  <c r="T311" i="1"/>
  <c r="T371" i="1"/>
  <c r="T308" i="1"/>
  <c r="T320" i="1"/>
  <c r="T301" i="1"/>
  <c r="T368" i="1"/>
  <c r="O168" i="1"/>
  <c r="O175" i="1"/>
  <c r="U311" i="1"/>
  <c r="U317" i="1"/>
  <c r="U371" i="1"/>
  <c r="T310" i="1"/>
  <c r="T370" i="1"/>
  <c r="R367" i="1"/>
  <c r="R289" i="1"/>
  <c r="R295" i="1" s="1"/>
  <c r="R373" i="1"/>
  <c r="R376" i="1" s="1"/>
  <c r="S323" i="1"/>
  <c r="S307" i="1"/>
  <c r="U310" i="1"/>
  <c r="U316" i="1"/>
  <c r="U370" i="1"/>
  <c r="P138" i="1"/>
  <c r="P206" i="1" s="1"/>
  <c r="P224" i="1" s="1"/>
  <c r="S316" i="1"/>
  <c r="O55" i="1"/>
  <c r="M65" i="1"/>
  <c r="L66" i="1"/>
  <c r="L62" i="1"/>
  <c r="L63" i="1" s="1"/>
  <c r="U321" i="1"/>
  <c r="U309" i="1"/>
  <c r="U369" i="1"/>
  <c r="P9" i="1"/>
  <c r="P5" i="1"/>
  <c r="P19" i="1" s="1"/>
  <c r="U116" i="1"/>
  <c r="P287" i="1"/>
  <c r="P274" i="1"/>
  <c r="P115" i="1"/>
  <c r="P113" i="1" s="1"/>
  <c r="P215" i="1" s="1"/>
  <c r="T309" i="1"/>
  <c r="T321" i="1"/>
  <c r="T315" i="1"/>
  <c r="T369" i="1"/>
  <c r="R377" i="1" l="1"/>
  <c r="R8" i="1"/>
  <c r="T366" i="1"/>
  <c r="T323" i="1"/>
  <c r="T307" i="1"/>
  <c r="Q5" i="1"/>
  <c r="Q9" i="1"/>
  <c r="O25" i="1"/>
  <c r="M62" i="1"/>
  <c r="M63" i="1" s="1"/>
  <c r="M66" i="1"/>
  <c r="T316" i="1"/>
  <c r="S367" i="1"/>
  <c r="S289" i="1"/>
  <c r="S295" i="1" s="1"/>
  <c r="S373" i="1"/>
  <c r="S376" i="1" s="1"/>
  <c r="T314" i="1"/>
  <c r="U366" i="1"/>
  <c r="N57" i="1"/>
  <c r="N38" i="1"/>
  <c r="U323" i="1"/>
  <c r="U307" i="1"/>
  <c r="N119" i="1"/>
  <c r="N120" i="1" s="1"/>
  <c r="O54" i="1"/>
  <c r="P45" i="1"/>
  <c r="P55" i="1" s="1"/>
  <c r="Q272" i="1"/>
  <c r="P254" i="1"/>
  <c r="P107" i="1"/>
  <c r="U315" i="1"/>
  <c r="P140" i="1"/>
  <c r="P141" i="1" s="1"/>
  <c r="T317" i="1"/>
  <c r="O130" i="1"/>
  <c r="O131" i="1" s="1"/>
  <c r="P32" i="1"/>
  <c r="P6" i="1"/>
  <c r="P23" i="1"/>
  <c r="P35" i="1"/>
  <c r="P51" i="1"/>
  <c r="P20" i="1"/>
  <c r="P21" i="1"/>
  <c r="P58" i="1"/>
  <c r="P47" i="1"/>
  <c r="P22" i="1"/>
  <c r="S377" i="1" l="1"/>
  <c r="S8" i="1"/>
  <c r="Q32" i="1"/>
  <c r="Q23" i="1"/>
  <c r="Q6" i="1"/>
  <c r="Q35" i="1"/>
  <c r="Q20" i="1"/>
  <c r="Q51" i="1"/>
  <c r="Q58" i="1"/>
  <c r="Q21" i="1"/>
  <c r="Q47" i="1"/>
  <c r="Q22" i="1"/>
  <c r="P25" i="1"/>
  <c r="P41" i="1"/>
  <c r="P40" i="1" s="1"/>
  <c r="P260" i="1"/>
  <c r="P268" i="1"/>
  <c r="P270" i="1"/>
  <c r="P267" i="1"/>
  <c r="P269" i="1"/>
  <c r="N39" i="1"/>
  <c r="N65" i="1"/>
  <c r="Q287" i="1"/>
  <c r="Q274" i="1"/>
  <c r="Q115" i="1"/>
  <c r="Q113" i="1" s="1"/>
  <c r="Q215" i="1" s="1"/>
  <c r="O100" i="1"/>
  <c r="P126" i="1"/>
  <c r="U367" i="1"/>
  <c r="U289" i="1"/>
  <c r="U295" i="1" s="1"/>
  <c r="U373" i="1"/>
  <c r="U376" i="1" s="1"/>
  <c r="T376" i="1"/>
  <c r="T367" i="1"/>
  <c r="T289" i="1"/>
  <c r="T295" i="1" s="1"/>
  <c r="T373" i="1"/>
  <c r="R9" i="1"/>
  <c r="R5" i="1"/>
  <c r="P144" i="1"/>
  <c r="Q135" i="1"/>
  <c r="P98" i="1"/>
  <c r="N122" i="1"/>
  <c r="N123" i="1" s="1"/>
  <c r="O112" i="1"/>
  <c r="N97" i="1"/>
  <c r="N95" i="1" s="1"/>
  <c r="Q19" i="1"/>
  <c r="U8" i="1" l="1"/>
  <c r="U377" i="1"/>
  <c r="Q138" i="1"/>
  <c r="Q206" i="1" s="1"/>
  <c r="Q224" i="1" s="1"/>
  <c r="T377" i="1"/>
  <c r="T8" i="1"/>
  <c r="P175" i="1"/>
  <c r="P168" i="1"/>
  <c r="R272" i="1"/>
  <c r="Q45" i="1"/>
  <c r="Q254" i="1"/>
  <c r="Q107" i="1"/>
  <c r="P54" i="1"/>
  <c r="R35" i="1"/>
  <c r="R32" i="1"/>
  <c r="R6" i="1"/>
  <c r="R23" i="1"/>
  <c r="R51" i="1"/>
  <c r="R20" i="1"/>
  <c r="R21" i="1"/>
  <c r="R58" i="1"/>
  <c r="R47" i="1"/>
  <c r="R22" i="1"/>
  <c r="N66" i="1"/>
  <c r="N62" i="1"/>
  <c r="N63" i="1" s="1"/>
  <c r="R19" i="1"/>
  <c r="O117" i="1"/>
  <c r="O204" i="1" s="1"/>
  <c r="O48" i="1" s="1"/>
  <c r="O119" i="1"/>
  <c r="O120" i="1" s="1"/>
  <c r="P128" i="1"/>
  <c r="P205" i="1" s="1"/>
  <c r="Q25" i="1"/>
  <c r="S9" i="1"/>
  <c r="S5" i="1"/>
  <c r="S19" i="1"/>
  <c r="T9" i="1" l="1"/>
  <c r="T5" i="1"/>
  <c r="T19" i="1"/>
  <c r="R25" i="1"/>
  <c r="S23" i="1"/>
  <c r="S35" i="1"/>
  <c r="S32" i="1"/>
  <c r="S6" i="1"/>
  <c r="S51" i="1"/>
  <c r="S20" i="1"/>
  <c r="S58" i="1"/>
  <c r="S21" i="1"/>
  <c r="S22" i="1"/>
  <c r="S47" i="1"/>
  <c r="Q41" i="1"/>
  <c r="Q40" i="1" s="1"/>
  <c r="Q260" i="1"/>
  <c r="Q268" i="1"/>
  <c r="Q270" i="1"/>
  <c r="Q267" i="1"/>
  <c r="Q269" i="1"/>
  <c r="Q140" i="1"/>
  <c r="Q141" i="1" s="1"/>
  <c r="O57" i="1"/>
  <c r="O38" i="1"/>
  <c r="Q55" i="1"/>
  <c r="P130" i="1"/>
  <c r="P131" i="1" s="1"/>
  <c r="P112" i="1"/>
  <c r="O122" i="1"/>
  <c r="O123" i="1" s="1"/>
  <c r="O97" i="1"/>
  <c r="O95" i="1" s="1"/>
  <c r="R287" i="1"/>
  <c r="R274" i="1"/>
  <c r="R115" i="1"/>
  <c r="R113" i="1" s="1"/>
  <c r="R215" i="1" s="1"/>
  <c r="U9" i="1"/>
  <c r="U5" i="1"/>
  <c r="Q144" i="1" l="1"/>
  <c r="R135" i="1"/>
  <c r="Q98" i="1"/>
  <c r="U6" i="1"/>
  <c r="U35" i="1"/>
  <c r="U23" i="1"/>
  <c r="U32" i="1"/>
  <c r="U51" i="1"/>
  <c r="U20" i="1"/>
  <c r="U21" i="1"/>
  <c r="U58" i="1"/>
  <c r="U47" i="1"/>
  <c r="U22" i="1"/>
  <c r="P117" i="1"/>
  <c r="P204" i="1" s="1"/>
  <c r="P48" i="1" s="1"/>
  <c r="P119" i="1"/>
  <c r="P120" i="1" s="1"/>
  <c r="U19" i="1"/>
  <c r="Q126" i="1"/>
  <c r="P100" i="1"/>
  <c r="O39" i="1"/>
  <c r="O65" i="1"/>
  <c r="T35" i="1"/>
  <c r="T23" i="1"/>
  <c r="T32" i="1"/>
  <c r="T6" i="1"/>
  <c r="T51" i="1"/>
  <c r="T20" i="1"/>
  <c r="T58" i="1"/>
  <c r="T21" i="1"/>
  <c r="T22" i="1"/>
  <c r="T47" i="1"/>
  <c r="S272" i="1"/>
  <c r="R45" i="1"/>
  <c r="R254" i="1"/>
  <c r="R107" i="1"/>
  <c r="Q54" i="1"/>
  <c r="S25" i="1"/>
  <c r="S274" i="1" l="1"/>
  <c r="S287" i="1"/>
  <c r="S115" i="1"/>
  <c r="S113" i="1" s="1"/>
  <c r="S215" i="1" s="1"/>
  <c r="T25" i="1"/>
  <c r="P97" i="1"/>
  <c r="P95" i="1" s="1"/>
  <c r="P122" i="1"/>
  <c r="P123" i="1" s="1"/>
  <c r="Q112" i="1"/>
  <c r="U25" i="1"/>
  <c r="P57" i="1"/>
  <c r="P38" i="1"/>
  <c r="O66" i="1"/>
  <c r="O62" i="1"/>
  <c r="O63" i="1" s="1"/>
  <c r="R140" i="1"/>
  <c r="R141" i="1" s="1"/>
  <c r="R138" i="1"/>
  <c r="R206" i="1" s="1"/>
  <c r="R224" i="1" s="1"/>
  <c r="R55" i="1" s="1"/>
  <c r="R260" i="1"/>
  <c r="R41" i="1"/>
  <c r="R40" i="1" s="1"/>
  <c r="R268" i="1"/>
  <c r="R267" i="1"/>
  <c r="R269" i="1"/>
  <c r="R270" i="1"/>
  <c r="Q130" i="1"/>
  <c r="Q131" i="1" s="1"/>
  <c r="Q128" i="1"/>
  <c r="Q205" i="1" s="1"/>
  <c r="Q175" i="1"/>
  <c r="Q168" i="1"/>
  <c r="Q100" i="1" l="1"/>
  <c r="R126" i="1"/>
  <c r="R144" i="1"/>
  <c r="R175" i="1" s="1"/>
  <c r="S135" i="1"/>
  <c r="R98" i="1"/>
  <c r="P39" i="1"/>
  <c r="P65" i="1"/>
  <c r="R54" i="1"/>
  <c r="S45" i="1"/>
  <c r="T272" i="1"/>
  <c r="S254" i="1"/>
  <c r="S107" i="1"/>
  <c r="Q117" i="1"/>
  <c r="Q204" i="1" s="1"/>
  <c r="Q48" i="1" s="1"/>
  <c r="Q119" i="1"/>
  <c r="Q120" i="1" s="1"/>
  <c r="S260" i="1" l="1"/>
  <c r="S41" i="1"/>
  <c r="S40" i="1" s="1"/>
  <c r="S268" i="1"/>
  <c r="S269" i="1"/>
  <c r="S270" i="1"/>
  <c r="S267" i="1"/>
  <c r="T287" i="1"/>
  <c r="T274" i="1"/>
  <c r="T115" i="1"/>
  <c r="T113" i="1" s="1"/>
  <c r="T215" i="1" s="1"/>
  <c r="S138" i="1"/>
  <c r="S206" i="1" s="1"/>
  <c r="S224" i="1" s="1"/>
  <c r="S140" i="1"/>
  <c r="S141" i="1" s="1"/>
  <c r="S55" i="1"/>
  <c r="R128" i="1"/>
  <c r="R205" i="1" s="1"/>
  <c r="R130" i="1"/>
  <c r="R131" i="1" s="1"/>
  <c r="Q97" i="1"/>
  <c r="Q95" i="1" s="1"/>
  <c r="Q122" i="1"/>
  <c r="Q123" i="1" s="1"/>
  <c r="R112" i="1"/>
  <c r="Q57" i="1"/>
  <c r="Q38" i="1"/>
  <c r="R168" i="1"/>
  <c r="P62" i="1"/>
  <c r="P63" i="1" s="1"/>
  <c r="P66" i="1"/>
  <c r="S126" i="1" l="1"/>
  <c r="R100" i="1"/>
  <c r="Q39" i="1"/>
  <c r="Q65" i="1"/>
  <c r="S98" i="1"/>
  <c r="S144" i="1"/>
  <c r="S175" i="1" s="1"/>
  <c r="T135" i="1"/>
  <c r="S54" i="1"/>
  <c r="R117" i="1"/>
  <c r="R204" i="1" s="1"/>
  <c r="R48" i="1" s="1"/>
  <c r="U272" i="1"/>
  <c r="T254" i="1"/>
  <c r="T45" i="1"/>
  <c r="T107" i="1"/>
  <c r="T138" i="1" l="1"/>
  <c r="T206" i="1" s="1"/>
  <c r="T224" i="1" s="1"/>
  <c r="T140" i="1"/>
  <c r="T141" i="1" s="1"/>
  <c r="T55" i="1"/>
  <c r="T260" i="1"/>
  <c r="T41" i="1"/>
  <c r="T40" i="1" s="1"/>
  <c r="T268" i="1"/>
  <c r="T269" i="1"/>
  <c r="T270" i="1"/>
  <c r="T267" i="1"/>
  <c r="U287" i="1"/>
  <c r="U274" i="1"/>
  <c r="U115" i="1"/>
  <c r="U113" i="1" s="1"/>
  <c r="U215" i="1" s="1"/>
  <c r="Q62" i="1"/>
  <c r="Q63" i="1" s="1"/>
  <c r="Q66" i="1"/>
  <c r="R57" i="1"/>
  <c r="R38" i="1"/>
  <c r="R119" i="1"/>
  <c r="R120" i="1" s="1"/>
  <c r="S168" i="1"/>
  <c r="S128" i="1"/>
  <c r="S205" i="1" s="1"/>
  <c r="S130" i="1"/>
  <c r="S131" i="1" s="1"/>
  <c r="T54" i="1" l="1"/>
  <c r="T126" i="1"/>
  <c r="S100" i="1"/>
  <c r="U254" i="1"/>
  <c r="U45" i="1"/>
  <c r="U107" i="1"/>
  <c r="S112" i="1"/>
  <c r="R97" i="1"/>
  <c r="R95" i="1" s="1"/>
  <c r="R122" i="1"/>
  <c r="R123" i="1" s="1"/>
  <c r="T98" i="1"/>
  <c r="U135" i="1"/>
  <c r="T144" i="1"/>
  <c r="T175" i="1" s="1"/>
  <c r="R39" i="1"/>
  <c r="R65" i="1"/>
  <c r="U260" i="1" l="1"/>
  <c r="U41" i="1"/>
  <c r="U40" i="1" s="1"/>
  <c r="U268" i="1"/>
  <c r="U267" i="1"/>
  <c r="U270" i="1"/>
  <c r="U269" i="1"/>
  <c r="U138" i="1"/>
  <c r="U206" i="1" s="1"/>
  <c r="U224" i="1" s="1"/>
  <c r="U55" i="1" s="1"/>
  <c r="U140" i="1"/>
  <c r="U141" i="1" s="1"/>
  <c r="T168" i="1"/>
  <c r="T128" i="1"/>
  <c r="T205" i="1" s="1"/>
  <c r="S117" i="1"/>
  <c r="S204" i="1" s="1"/>
  <c r="S48" i="1" s="1"/>
  <c r="R62" i="1"/>
  <c r="R63" i="1" s="1"/>
  <c r="R66" i="1"/>
  <c r="S119" i="1" l="1"/>
  <c r="S120" i="1" s="1"/>
  <c r="U54" i="1"/>
  <c r="U98" i="1"/>
  <c r="U144" i="1"/>
  <c r="U175" i="1" s="1"/>
  <c r="S57" i="1"/>
  <c r="S38" i="1"/>
  <c r="T130" i="1"/>
  <c r="T131" i="1" s="1"/>
  <c r="S39" i="1" l="1"/>
  <c r="S65" i="1"/>
  <c r="U168" i="1"/>
  <c r="U126" i="1"/>
  <c r="T100" i="1"/>
  <c r="S122" i="1"/>
  <c r="S123" i="1" s="1"/>
  <c r="S97" i="1"/>
  <c r="S95" i="1" s="1"/>
  <c r="T112" i="1"/>
  <c r="T117" i="1" l="1"/>
  <c r="T204" i="1" s="1"/>
  <c r="T48" i="1" s="1"/>
  <c r="U128" i="1"/>
  <c r="U205" i="1" s="1"/>
  <c r="U130" i="1"/>
  <c r="U131" i="1" s="1"/>
  <c r="U100" i="1" s="1"/>
  <c r="S66" i="1"/>
  <c r="S62" i="1"/>
  <c r="S63" i="1" s="1"/>
  <c r="T57" i="1" l="1"/>
  <c r="T38" i="1"/>
  <c r="T119" i="1"/>
  <c r="T120" i="1" s="1"/>
  <c r="T122" i="1" l="1"/>
  <c r="T123" i="1" s="1"/>
  <c r="T97" i="1"/>
  <c r="T95" i="1" s="1"/>
  <c r="U112" i="1"/>
  <c r="T39" i="1"/>
  <c r="T65" i="1"/>
  <c r="T62" i="1" l="1"/>
  <c r="T63" i="1" s="1"/>
  <c r="T66" i="1"/>
  <c r="U117" i="1"/>
  <c r="U204" i="1" s="1"/>
  <c r="U48" i="1" s="1"/>
  <c r="U57" i="1" l="1"/>
  <c r="U38" i="1"/>
  <c r="U119" i="1"/>
  <c r="U120" i="1" s="1"/>
  <c r="U97" i="1" l="1"/>
  <c r="U95" i="1" s="1"/>
  <c r="U122" i="1"/>
  <c r="U123" i="1" s="1"/>
  <c r="U39" i="1"/>
  <c r="U65" i="1"/>
  <c r="U62" i="1" l="1"/>
  <c r="U63" i="1" s="1"/>
  <c r="U66" i="1"/>
</calcChain>
</file>

<file path=xl/sharedStrings.xml><?xml version="1.0" encoding="utf-8"?>
<sst xmlns="http://schemas.openxmlformats.org/spreadsheetml/2006/main" count="501" uniqueCount="220">
  <si>
    <t>Days of operation</t>
    <phoneticPr fontId="3" type="noConversion"/>
  </si>
  <si>
    <t>&gt;&gt;2018.09 ipo</t>
    <phoneticPr fontId="3" type="noConversion"/>
  </si>
  <si>
    <t>IS</t>
    <phoneticPr fontId="3" type="noConversion"/>
  </si>
  <si>
    <t>RMB Mn</t>
    <phoneticPr fontId="3" type="noConversion"/>
  </si>
  <si>
    <t>2015</t>
    <phoneticPr fontId="3" type="noConversion"/>
  </si>
  <si>
    <t>2016</t>
  </si>
  <si>
    <t>2017</t>
  </si>
  <si>
    <t>2018</t>
  </si>
  <si>
    <t>2019</t>
  </si>
  <si>
    <t>2020e</t>
    <phoneticPr fontId="3" type="noConversion"/>
  </si>
  <si>
    <t>2021e</t>
    <phoneticPr fontId="3" type="noConversion"/>
  </si>
  <si>
    <t>2022e</t>
    <phoneticPr fontId="3" type="noConversion"/>
  </si>
  <si>
    <t>2023e</t>
    <phoneticPr fontId="3" type="noConversion"/>
  </si>
  <si>
    <t>2024e</t>
    <phoneticPr fontId="3" type="noConversion"/>
  </si>
  <si>
    <t>2025e</t>
    <phoneticPr fontId="3" type="noConversion"/>
  </si>
  <si>
    <t>2026e</t>
    <phoneticPr fontId="3" type="noConversion"/>
  </si>
  <si>
    <t>2027e</t>
    <phoneticPr fontId="3" type="noConversion"/>
  </si>
  <si>
    <t>2028e</t>
    <phoneticPr fontId="3" type="noConversion"/>
  </si>
  <si>
    <t>2029e</t>
    <phoneticPr fontId="3" type="noConversion"/>
  </si>
  <si>
    <t>2030e</t>
    <phoneticPr fontId="3" type="noConversion"/>
  </si>
  <si>
    <t>1H17</t>
    <phoneticPr fontId="3" type="noConversion"/>
  </si>
  <si>
    <t>2H17</t>
    <phoneticPr fontId="3" type="noConversion"/>
  </si>
  <si>
    <t>1H18</t>
    <phoneticPr fontId="3" type="noConversion"/>
  </si>
  <si>
    <t>2H18</t>
  </si>
  <si>
    <t>1H19</t>
  </si>
  <si>
    <t>2H19</t>
  </si>
  <si>
    <t>1H20</t>
  </si>
  <si>
    <t>2H20</t>
  </si>
  <si>
    <t>Revenues</t>
    <phoneticPr fontId="3" type="noConversion"/>
  </si>
  <si>
    <t>Consolidated</t>
    <phoneticPr fontId="3" type="noConversion"/>
  </si>
  <si>
    <t>yoy%</t>
    <phoneticPr fontId="3" type="noConversion"/>
  </si>
  <si>
    <t>海底捞餐厅</t>
    <phoneticPr fontId="3" type="noConversion"/>
  </si>
  <si>
    <t>其他餐厅</t>
    <phoneticPr fontId="3" type="noConversion"/>
  </si>
  <si>
    <t>外卖业务</t>
    <phoneticPr fontId="3" type="noConversion"/>
  </si>
  <si>
    <t>调味品及食材销售</t>
    <phoneticPr fontId="3" type="noConversion"/>
  </si>
  <si>
    <t>其他</t>
    <phoneticPr fontId="3" type="noConversion"/>
  </si>
  <si>
    <t>Mix%</t>
    <phoneticPr fontId="3" type="noConversion"/>
  </si>
  <si>
    <t>Raw materials and consumables used</t>
    <phoneticPr fontId="3" type="noConversion"/>
  </si>
  <si>
    <t>食材成本</t>
    <phoneticPr fontId="3" type="noConversion"/>
  </si>
  <si>
    <t>as % of total COGS</t>
    <phoneticPr fontId="3" type="noConversion"/>
  </si>
  <si>
    <t>易耗品</t>
    <phoneticPr fontId="3" type="noConversion"/>
  </si>
  <si>
    <t>餐厅员工制服</t>
    <phoneticPr fontId="3" type="noConversion"/>
  </si>
  <si>
    <t>Gross profit</t>
    <phoneticPr fontId="3" type="noConversion"/>
  </si>
  <si>
    <t>GPM</t>
    <phoneticPr fontId="3" type="noConversion"/>
  </si>
  <si>
    <t>Other income</t>
    <phoneticPr fontId="3" type="noConversion"/>
  </si>
  <si>
    <t>as % of rev</t>
    <phoneticPr fontId="3" type="noConversion"/>
  </si>
  <si>
    <t>Opex</t>
    <phoneticPr fontId="3" type="noConversion"/>
  </si>
  <si>
    <t>Staff costs</t>
    <phoneticPr fontId="3" type="noConversion"/>
  </si>
  <si>
    <t># of employees ('000)</t>
    <phoneticPr fontId="3" type="noConversion"/>
  </si>
  <si>
    <t>avg. employees per store</t>
    <phoneticPr fontId="3" type="noConversion"/>
  </si>
  <si>
    <t>avg. salary ('000 RMB)</t>
    <phoneticPr fontId="3" type="noConversion"/>
  </si>
  <si>
    <t>Rentals and related expenses</t>
    <phoneticPr fontId="3" type="noConversion"/>
  </si>
  <si>
    <t>Rental related expense per store</t>
    <phoneticPr fontId="3" type="noConversion"/>
  </si>
  <si>
    <t>Utilities expenses</t>
    <phoneticPr fontId="3" type="noConversion"/>
  </si>
  <si>
    <t>D&amp;A</t>
    <phoneticPr fontId="3" type="noConversion"/>
  </si>
  <si>
    <t>Travelling and related expenses</t>
    <phoneticPr fontId="3" type="noConversion"/>
  </si>
  <si>
    <t>Other expenses</t>
    <phoneticPr fontId="3" type="noConversion"/>
  </si>
  <si>
    <t>Staff costs</t>
  </si>
  <si>
    <t>Adj. rental expenses</t>
    <phoneticPr fontId="3" type="noConversion"/>
  </si>
  <si>
    <t>Utilities expenses</t>
  </si>
  <si>
    <t>Adj. D&amp;A</t>
    <phoneticPr fontId="3" type="noConversion"/>
  </si>
  <si>
    <t>Travelling and related expenses</t>
  </si>
  <si>
    <t>Other expenses</t>
  </si>
  <si>
    <t>Adj. EBITDA</t>
    <phoneticPr fontId="3" type="noConversion"/>
  </si>
  <si>
    <t>EBITDA margin</t>
    <phoneticPr fontId="3" type="noConversion"/>
  </si>
  <si>
    <t>EBIT</t>
    <phoneticPr fontId="3" type="noConversion"/>
  </si>
  <si>
    <t>OPM</t>
    <phoneticPr fontId="3" type="noConversion"/>
  </si>
  <si>
    <t>Profits from JVs and associate</t>
    <phoneticPr fontId="3" type="noConversion"/>
  </si>
  <si>
    <t>Other gains and losses</t>
    <phoneticPr fontId="3" type="noConversion"/>
  </si>
  <si>
    <t>Finance costs</t>
    <phoneticPr fontId="3" type="noConversion"/>
  </si>
  <si>
    <t>EBT</t>
    <phoneticPr fontId="3" type="noConversion"/>
  </si>
  <si>
    <t>Income tax expenses</t>
    <phoneticPr fontId="3" type="noConversion"/>
  </si>
  <si>
    <t>Effective tax rate</t>
    <phoneticPr fontId="3" type="noConversion"/>
  </si>
  <si>
    <t>Net profit</t>
    <phoneticPr fontId="3" type="noConversion"/>
  </si>
  <si>
    <t>NPM</t>
    <phoneticPr fontId="3" type="noConversion"/>
  </si>
  <si>
    <t>Equityholders of the Company</t>
    <phoneticPr fontId="3" type="noConversion"/>
  </si>
  <si>
    <t>NCI</t>
    <phoneticPr fontId="3" type="noConversion"/>
  </si>
  <si>
    <t>NCI%</t>
    <phoneticPr fontId="3" type="noConversion"/>
  </si>
  <si>
    <t># of shares</t>
    <phoneticPr fontId="3" type="noConversion"/>
  </si>
  <si>
    <t>Basic</t>
    <phoneticPr fontId="3" type="noConversion"/>
  </si>
  <si>
    <t>Diluted</t>
    <phoneticPr fontId="3" type="noConversion"/>
  </si>
  <si>
    <t>EPS</t>
    <phoneticPr fontId="3" type="noConversion"/>
  </si>
  <si>
    <t>BS</t>
    <phoneticPr fontId="3" type="noConversion"/>
  </si>
  <si>
    <t>Non-CA</t>
    <phoneticPr fontId="3" type="noConversion"/>
  </si>
  <si>
    <t>PP&amp;E</t>
    <phoneticPr fontId="3" type="noConversion"/>
  </si>
  <si>
    <t>ROU assets</t>
    <phoneticPr fontId="3" type="noConversion"/>
  </si>
  <si>
    <t>Goodwill</t>
    <phoneticPr fontId="3" type="noConversion"/>
  </si>
  <si>
    <t>Intangibles</t>
    <phoneticPr fontId="3" type="noConversion"/>
  </si>
  <si>
    <t>Equity-method investment</t>
    <phoneticPr fontId="3" type="noConversion"/>
  </si>
  <si>
    <t>Amount due from related parties</t>
    <phoneticPr fontId="3" type="noConversion"/>
  </si>
  <si>
    <t>FA at FVTPL</t>
    <phoneticPr fontId="3" type="noConversion"/>
  </si>
  <si>
    <t>FA at FVTOCI</t>
    <phoneticPr fontId="3" type="noConversion"/>
  </si>
  <si>
    <t>Deferred tax assets</t>
    <phoneticPr fontId="3" type="noConversion"/>
  </si>
  <si>
    <t>Deposits in a financial institution</t>
    <phoneticPr fontId="3" type="noConversion"/>
  </si>
  <si>
    <t>Rental deposits</t>
    <phoneticPr fontId="3" type="noConversion"/>
  </si>
  <si>
    <t>deposits per store</t>
    <phoneticPr fontId="3" type="noConversion"/>
  </si>
  <si>
    <t>Other non-CA</t>
    <phoneticPr fontId="3" type="noConversion"/>
  </si>
  <si>
    <t>PP&amp;E schedule</t>
    <phoneticPr fontId="3" type="noConversion"/>
  </si>
  <si>
    <t>BGN</t>
    <phoneticPr fontId="3" type="noConversion"/>
  </si>
  <si>
    <t>Capex</t>
    <phoneticPr fontId="3" type="noConversion"/>
  </si>
  <si>
    <t>On newly opened store</t>
    <phoneticPr fontId="3" type="noConversion"/>
  </si>
  <si>
    <t>On existing stores</t>
    <phoneticPr fontId="3" type="noConversion"/>
  </si>
  <si>
    <t>Capex per existing store</t>
    <phoneticPr fontId="3" type="noConversion"/>
  </si>
  <si>
    <t>Dep yrs</t>
    <phoneticPr fontId="3" type="noConversion"/>
  </si>
  <si>
    <t>END(cal.)</t>
    <phoneticPr fontId="3" type="noConversion"/>
  </si>
  <si>
    <t>END(reported)</t>
    <phoneticPr fontId="3" type="noConversion"/>
  </si>
  <si>
    <t>Diff</t>
    <phoneticPr fontId="3" type="noConversion"/>
  </si>
  <si>
    <t>PP&amp;E per Haidilao store</t>
    <phoneticPr fontId="3" type="noConversion"/>
  </si>
  <si>
    <t>Intangibles schedule</t>
    <phoneticPr fontId="3" type="noConversion"/>
  </si>
  <si>
    <t>Amort yrs</t>
    <phoneticPr fontId="3" type="noConversion"/>
  </si>
  <si>
    <t>ROU assets schedule</t>
    <phoneticPr fontId="3" type="noConversion"/>
  </si>
  <si>
    <t>Additions</t>
    <phoneticPr fontId="3" type="noConversion"/>
  </si>
  <si>
    <t>per net added store</t>
    <phoneticPr fontId="3" type="noConversion"/>
  </si>
  <si>
    <t>Lease liabilities total</t>
    <phoneticPr fontId="3" type="noConversion"/>
  </si>
  <si>
    <t>as % of ROU assets balance</t>
    <phoneticPr fontId="3" type="noConversion"/>
  </si>
  <si>
    <t>CA</t>
    <phoneticPr fontId="3" type="noConversion"/>
  </si>
  <si>
    <t>Inventories</t>
    <phoneticPr fontId="3" type="noConversion"/>
  </si>
  <si>
    <t>Trade and other receivables and prepayments</t>
    <phoneticPr fontId="3" type="noConversion"/>
  </si>
  <si>
    <t>Amounts due from related parties</t>
    <phoneticPr fontId="3" type="noConversion"/>
  </si>
  <si>
    <t>Other financial assets</t>
    <phoneticPr fontId="3" type="noConversion"/>
  </si>
  <si>
    <t>Pledged bank deposits</t>
    <phoneticPr fontId="3" type="noConversion"/>
  </si>
  <si>
    <t>Bank balances and cash</t>
    <phoneticPr fontId="3" type="noConversion"/>
  </si>
  <si>
    <t>Total assets</t>
    <phoneticPr fontId="3" type="noConversion"/>
  </si>
  <si>
    <t>CL</t>
    <phoneticPr fontId="3" type="noConversion"/>
  </si>
  <si>
    <t>Trade payables</t>
    <phoneticPr fontId="3" type="noConversion"/>
  </si>
  <si>
    <t>Other payables</t>
    <phoneticPr fontId="3" type="noConversion"/>
  </si>
  <si>
    <t>Amounts due to related parties</t>
    <phoneticPr fontId="3" type="noConversion"/>
  </si>
  <si>
    <t>Dividend payable</t>
    <phoneticPr fontId="3" type="noConversion"/>
  </si>
  <si>
    <t>Tax payable</t>
    <phoneticPr fontId="3" type="noConversion"/>
  </si>
  <si>
    <t>Borrowings</t>
    <phoneticPr fontId="3" type="noConversion"/>
  </si>
  <si>
    <t>Lease liabilities</t>
    <phoneticPr fontId="3" type="noConversion"/>
  </si>
  <si>
    <t>Contract liabilities</t>
    <phoneticPr fontId="3" type="noConversion"/>
  </si>
  <si>
    <t>Non-CL</t>
    <phoneticPr fontId="3" type="noConversion"/>
  </si>
  <si>
    <t>Deferred tax liabilities</t>
    <phoneticPr fontId="3" type="noConversion"/>
  </si>
  <si>
    <t>Provisions</t>
    <phoneticPr fontId="3" type="noConversion"/>
  </si>
  <si>
    <t>Total liabilities</t>
    <phoneticPr fontId="3" type="noConversion"/>
  </si>
  <si>
    <t>Equity attributable to owners of the Company</t>
    <phoneticPr fontId="3" type="noConversion"/>
  </si>
  <si>
    <t>Share capital</t>
    <phoneticPr fontId="3" type="noConversion"/>
  </si>
  <si>
    <t>Reserves</t>
    <phoneticPr fontId="3" type="noConversion"/>
  </si>
  <si>
    <t>Non-controlling interests</t>
    <phoneticPr fontId="3" type="noConversion"/>
  </si>
  <si>
    <t>Total equity</t>
    <phoneticPr fontId="3" type="noConversion"/>
  </si>
  <si>
    <t>check</t>
    <phoneticPr fontId="3" type="noConversion"/>
  </si>
  <si>
    <t>BVPS</t>
    <phoneticPr fontId="3" type="noConversion"/>
  </si>
  <si>
    <t>NWC</t>
    <phoneticPr fontId="3" type="noConversion"/>
  </si>
  <si>
    <t>Receivables and prepaids</t>
    <phoneticPr fontId="3" type="noConversion"/>
  </si>
  <si>
    <t>Trade and other payables</t>
    <phoneticPr fontId="3" type="noConversion"/>
  </si>
  <si>
    <t>Other NWC</t>
    <phoneticPr fontId="3" type="noConversion"/>
  </si>
  <si>
    <t>CFS</t>
    <phoneticPr fontId="3" type="noConversion"/>
  </si>
  <si>
    <t>Net cash from/(used in) operating activities</t>
    <phoneticPr fontId="3" type="noConversion"/>
  </si>
  <si>
    <t>+Dep of PP&amp;E</t>
    <phoneticPr fontId="3" type="noConversion"/>
  </si>
  <si>
    <t>+Amort of intangibles</t>
    <phoneticPr fontId="3" type="noConversion"/>
  </si>
  <si>
    <t>+Dep of ROU assets</t>
    <phoneticPr fontId="3" type="noConversion"/>
  </si>
  <si>
    <t>-Chg in NWC</t>
    <phoneticPr fontId="3" type="noConversion"/>
  </si>
  <si>
    <t>-Non-op gains/+losses</t>
    <phoneticPr fontId="3" type="noConversion"/>
  </si>
  <si>
    <t>Others</t>
    <phoneticPr fontId="3" type="noConversion"/>
  </si>
  <si>
    <t>Adj. OCF</t>
    <phoneticPr fontId="3" type="noConversion"/>
  </si>
  <si>
    <t>Net cash from/(used in) investing activities</t>
    <phoneticPr fontId="3" type="noConversion"/>
  </si>
  <si>
    <t>Capex on PP&amp;E</t>
    <phoneticPr fontId="3" type="noConversion"/>
  </si>
  <si>
    <t>Capex on intangibles</t>
    <phoneticPr fontId="3" type="noConversion"/>
  </si>
  <si>
    <t>Business acquisition, net of cash</t>
    <phoneticPr fontId="3" type="noConversion"/>
  </si>
  <si>
    <t>Chg in pledged bank deposits/Fis deposits</t>
    <phoneticPr fontId="3" type="noConversion"/>
  </si>
  <si>
    <t>Net cash from/(used in) financing activities</t>
    <phoneticPr fontId="3" type="noConversion"/>
  </si>
  <si>
    <t>New debt</t>
    <phoneticPr fontId="3" type="noConversion"/>
  </si>
  <si>
    <t>Loans from related parties</t>
    <phoneticPr fontId="3" type="noConversion"/>
  </si>
  <si>
    <t>Repayments of lease liabilities</t>
    <phoneticPr fontId="3" type="noConversion"/>
  </si>
  <si>
    <t>Dividends paid</t>
    <phoneticPr fontId="3" type="noConversion"/>
  </si>
  <si>
    <t>Equity contribution by shareholders</t>
    <phoneticPr fontId="3" type="noConversion"/>
  </si>
  <si>
    <t>Net chg in cash</t>
    <phoneticPr fontId="3" type="noConversion"/>
  </si>
  <si>
    <t>FX impact</t>
    <phoneticPr fontId="3" type="noConversion"/>
  </si>
  <si>
    <t>Net cash used in Sichuan Haidilao Branches</t>
    <phoneticPr fontId="3" type="noConversion"/>
  </si>
  <si>
    <t>END</t>
    <phoneticPr fontId="3" type="noConversion"/>
  </si>
  <si>
    <t>Adj. FCFF</t>
    <phoneticPr fontId="3" type="noConversion"/>
  </si>
  <si>
    <t>FCFF margin</t>
    <phoneticPr fontId="3" type="noConversion"/>
  </si>
  <si>
    <t>FCFF yield</t>
    <phoneticPr fontId="3" type="noConversion"/>
  </si>
  <si>
    <t>DCF</t>
    <phoneticPr fontId="3" type="noConversion"/>
  </si>
  <si>
    <t>Haidilao op metrics</t>
    <phoneticPr fontId="3" type="noConversion"/>
  </si>
  <si>
    <r>
      <rPr>
        <sz val="12"/>
        <color theme="1"/>
        <rFont val="Arial"/>
        <family val="3"/>
      </rPr>
      <t>常住人口</t>
    </r>
    <r>
      <rPr>
        <sz val="12"/>
        <color theme="1"/>
        <rFont val="Arial"/>
        <family val="2"/>
      </rPr>
      <t>(Mn)</t>
    </r>
    <phoneticPr fontId="3" type="noConversion"/>
  </si>
  <si>
    <t>Tier 1</t>
    <phoneticPr fontId="3" type="noConversion"/>
  </si>
  <si>
    <t>Tier 2</t>
    <phoneticPr fontId="3" type="noConversion"/>
  </si>
  <si>
    <t>Blended metrics</t>
    <phoneticPr fontId="3" type="noConversion"/>
  </si>
  <si>
    <t># of restaurants</t>
    <phoneticPr fontId="3" type="noConversion"/>
  </si>
  <si>
    <t>Tier 3 and below</t>
    <phoneticPr fontId="3" type="noConversion"/>
  </si>
  <si>
    <t>Overseas</t>
    <phoneticPr fontId="3" type="noConversion"/>
  </si>
  <si>
    <t>Opened</t>
    <phoneticPr fontId="3" type="noConversion"/>
  </si>
  <si>
    <t>growth rate</t>
    <phoneticPr fontId="3" type="noConversion"/>
  </si>
  <si>
    <t>Closed</t>
    <phoneticPr fontId="3" type="noConversion"/>
  </si>
  <si>
    <t>Net adds</t>
    <phoneticPr fontId="3" type="noConversion"/>
  </si>
  <si>
    <t>Avg. rev per guest (RMB)</t>
    <phoneticPr fontId="3" type="noConversion"/>
  </si>
  <si>
    <t>Total # of guests served (Mn)</t>
    <phoneticPr fontId="3" type="noConversion"/>
  </si>
  <si>
    <t>penetration rate</t>
    <phoneticPr fontId="3" type="noConversion"/>
  </si>
  <si>
    <t>Avg. guests per day per restaurant</t>
    <phoneticPr fontId="3" type="noConversion"/>
  </si>
  <si>
    <t>Total restaurant days</t>
    <phoneticPr fontId="3" type="noConversion"/>
  </si>
  <si>
    <t xml:space="preserve">avg. days of operation (Instrumental) </t>
    <phoneticPr fontId="3" type="noConversion"/>
  </si>
  <si>
    <t>Avg. daily restaurant sales ('000 RMB)</t>
    <phoneticPr fontId="3" type="noConversion"/>
  </si>
  <si>
    <t>Table turnover rate (times/day)</t>
    <phoneticPr fontId="3" type="noConversion"/>
  </si>
  <si>
    <t>Avg. guests per time per day per restaurant</t>
    <phoneticPr fontId="3" type="noConversion"/>
  </si>
  <si>
    <t>Gross restaurant rev</t>
    <phoneticPr fontId="3" type="noConversion"/>
  </si>
  <si>
    <t>Less: Customer loyalty program</t>
    <phoneticPr fontId="3" type="noConversion"/>
  </si>
  <si>
    <t>as % of gross rev</t>
    <phoneticPr fontId="3" type="noConversion"/>
  </si>
  <si>
    <t>Net restaurant rev</t>
    <phoneticPr fontId="3" type="noConversion"/>
  </si>
  <si>
    <t>Restaurant level operating profit</t>
    <phoneticPr fontId="3" type="noConversion"/>
  </si>
  <si>
    <t>Restaurant level OPM</t>
    <phoneticPr fontId="3" type="noConversion"/>
  </si>
  <si>
    <t>Same store metrics</t>
    <phoneticPr fontId="3" type="noConversion"/>
  </si>
  <si>
    <r>
      <t>**年内</t>
    </r>
    <r>
      <rPr>
        <i/>
        <sz val="8"/>
        <color theme="1"/>
        <rFont val="SimSun"/>
        <family val="3"/>
        <charset val="134"/>
      </rPr>
      <t>运营超过</t>
    </r>
    <r>
      <rPr>
        <i/>
        <sz val="8"/>
        <color theme="1"/>
        <rFont val="Arial"/>
        <family val="2"/>
      </rPr>
      <t>300</t>
    </r>
    <r>
      <rPr>
        <i/>
        <sz val="8"/>
        <color theme="1"/>
        <rFont val="SimSun"/>
        <family val="3"/>
        <charset val="134"/>
      </rPr>
      <t>天的餐厅/半年内运营超过120天的餐厅</t>
    </r>
    <phoneticPr fontId="3" type="noConversion"/>
  </si>
  <si>
    <t># of same stores under comparison</t>
    <phoneticPr fontId="3" type="noConversion"/>
  </si>
  <si>
    <t>as % of period end stores</t>
    <phoneticPr fontId="3" type="noConversion"/>
  </si>
  <si>
    <t>Current period</t>
    <phoneticPr fontId="3" type="noConversion"/>
  </si>
  <si>
    <t>Same store total sales</t>
    <phoneticPr fontId="3" type="noConversion"/>
  </si>
  <si>
    <t>SSS per day per restaurant('000 RMB)</t>
    <phoneticPr fontId="3" type="noConversion"/>
  </si>
  <si>
    <t>SS restaurant days</t>
    <phoneticPr fontId="3" type="noConversion"/>
  </si>
  <si>
    <t>SS table turnover rate (times/day)</t>
    <phoneticPr fontId="3" type="noConversion"/>
  </si>
  <si>
    <t>Last period</t>
    <phoneticPr fontId="3" type="noConversion"/>
  </si>
  <si>
    <t>SSS per day per restaurant ('000 RMB)</t>
    <phoneticPr fontId="3" type="noConversion"/>
  </si>
  <si>
    <t>YoY growth</t>
    <phoneticPr fontId="3" type="noConversion"/>
  </si>
  <si>
    <t>SSSG</t>
    <phoneticPr fontId="3" type="noConversion"/>
  </si>
  <si>
    <t>SS table turnover growth</t>
    <phoneticPr fontId="3" type="noConversion"/>
  </si>
  <si>
    <t>本文件仅用于案例示范，不构成投资建议，所有参数假设不必当真。</t>
    <phoneticPr fontId="3" type="noConversion"/>
  </si>
  <si>
    <t>如有言中，纯属侥幸。</t>
    <phoneticPr fontId="3" type="noConversion"/>
  </si>
  <si>
    <t>本期话题：固定资产投资（Capex on PP&amp;E）如何影响未来收入（Revenue）、运营成本（opex）</t>
    <phoneticPr fontId="3" type="noConversion"/>
  </si>
  <si>
    <r>
      <t>**原始</t>
    </r>
    <r>
      <rPr>
        <sz val="9"/>
        <color theme="1"/>
        <rFont val="SimSun"/>
        <family val="3"/>
        <charset val="134"/>
      </rPr>
      <t>数据来自万得，按海底捞招股书中的城市群归类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</si>
</sst>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0.0%"/>
    <numFmt numFmtId="178" formatCode="_(* #,##0.0_);_(* \(#,##0.0\);_(* &quot;-&quot;??_);_(@_)"/>
  </numFmts>
  <fonts count="37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Arial"/>
      <family val="2"/>
    </font>
    <font>
      <sz val="9"/>
      <name val="等线"/>
      <family val="2"/>
      <charset val="134"/>
      <scheme val="minor"/>
    </font>
    <font>
      <sz val="12"/>
      <color rgb="FF0432FF"/>
      <name val="Arial"/>
      <family val="2"/>
    </font>
    <font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432FF"/>
      <name val="Arial"/>
      <family val="2"/>
    </font>
    <font>
      <i/>
      <sz val="12"/>
      <color theme="8"/>
      <name val="Arial"/>
      <family val="2"/>
    </font>
    <font>
      <i/>
      <sz val="12"/>
      <color rgb="FFC00000"/>
      <name val="Arial"/>
      <family val="2"/>
    </font>
    <font>
      <sz val="12"/>
      <color theme="8"/>
      <name val="Arial"/>
      <family val="2"/>
    </font>
    <font>
      <u val="singleAccounting"/>
      <sz val="12"/>
      <color theme="8"/>
      <name val="Arial"/>
      <family val="2"/>
    </font>
    <font>
      <sz val="12"/>
      <color theme="1" tint="0.499984740745262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3"/>
    </font>
    <font>
      <i/>
      <u val="singleAccounting"/>
      <sz val="12"/>
      <color theme="8"/>
      <name val="Arial"/>
      <family val="2"/>
    </font>
    <font>
      <i/>
      <sz val="12"/>
      <color theme="1"/>
      <name val="Arial"/>
      <family val="2"/>
    </font>
    <font>
      <i/>
      <sz val="12"/>
      <color theme="1" tint="0.499984740745262"/>
      <name val="Arial"/>
      <family val="2"/>
    </font>
    <font>
      <i/>
      <u val="singleAccounting"/>
      <sz val="12"/>
      <color theme="1" tint="0.499984740745262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C00000"/>
      <name val="Arial"/>
      <family val="2"/>
    </font>
    <font>
      <i/>
      <u/>
      <sz val="12"/>
      <color theme="8"/>
      <name val="Arial"/>
      <family val="2"/>
    </font>
    <font>
      <b/>
      <sz val="12"/>
      <color theme="8"/>
      <name val="Arial"/>
      <family val="2"/>
    </font>
    <font>
      <b/>
      <u val="singleAccounting"/>
      <sz val="12"/>
      <color theme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SimSun"/>
      <family val="3"/>
      <charset val="134"/>
    </font>
    <font>
      <b/>
      <u val="singleAccounting"/>
      <sz val="12"/>
      <color theme="1"/>
      <name val="Arial"/>
      <family val="2"/>
    </font>
    <font>
      <i/>
      <sz val="8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SimSun"/>
      <family val="3"/>
      <charset val="134"/>
    </font>
    <font>
      <sz val="9"/>
      <color theme="1"/>
      <name val="Arial"/>
      <family val="2"/>
    </font>
    <font>
      <sz val="9"/>
      <color theme="1"/>
      <name val="SimSun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6" fontId="2" fillId="2" borderId="0" xfId="1" applyNumberFormat="1" applyFont="1" applyFill="1">
      <alignment vertical="center"/>
    </xf>
    <xf numFmtId="176" fontId="4" fillId="2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49" fontId="6" fillId="3" borderId="0" xfId="1" applyNumberFormat="1" applyFont="1" applyFill="1">
      <alignment vertical="center"/>
    </xf>
    <xf numFmtId="49" fontId="6" fillId="3" borderId="0" xfId="1" applyNumberFormat="1" applyFont="1" applyFill="1" applyAlignment="1">
      <alignment horizontal="center" vertical="center"/>
    </xf>
    <xf numFmtId="176" fontId="7" fillId="2" borderId="0" xfId="1" applyNumberFormat="1" applyFont="1" applyFill="1">
      <alignment vertical="center"/>
    </xf>
    <xf numFmtId="176" fontId="8" fillId="2" borderId="0" xfId="1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10" fillId="2" borderId="0" xfId="2" applyNumberFormat="1" applyFont="1" applyFill="1">
      <alignment vertical="center"/>
    </xf>
    <xf numFmtId="176" fontId="11" fillId="2" borderId="0" xfId="1" applyNumberFormat="1" applyFont="1" applyFill="1">
      <alignment vertical="center"/>
    </xf>
    <xf numFmtId="176" fontId="12" fillId="2" borderId="0" xfId="1" applyNumberFormat="1" applyFont="1" applyFill="1">
      <alignment vertical="center"/>
    </xf>
    <xf numFmtId="177" fontId="11" fillId="2" borderId="0" xfId="2" applyNumberFormat="1" applyFont="1" applyFill="1">
      <alignment vertical="center"/>
    </xf>
    <xf numFmtId="9" fontId="9" fillId="2" borderId="0" xfId="2" applyFont="1" applyFill="1">
      <alignment vertical="center"/>
    </xf>
    <xf numFmtId="176" fontId="13" fillId="2" borderId="0" xfId="1" applyNumberFormat="1" applyFont="1" applyFill="1">
      <alignment vertical="center"/>
    </xf>
    <xf numFmtId="43" fontId="11" fillId="2" borderId="0" xfId="1" applyFont="1" applyFill="1">
      <alignment vertical="center"/>
    </xf>
    <xf numFmtId="43" fontId="5" fillId="2" borderId="0" xfId="1" applyFont="1" applyFill="1">
      <alignment vertical="center"/>
    </xf>
    <xf numFmtId="177" fontId="5" fillId="2" borderId="0" xfId="2" applyNumberFormat="1" applyFont="1" applyFill="1">
      <alignment vertical="center"/>
    </xf>
    <xf numFmtId="176" fontId="2" fillId="4" borderId="0" xfId="1" applyNumberFormat="1" applyFont="1" applyFill="1">
      <alignment vertical="center"/>
    </xf>
    <xf numFmtId="176" fontId="14" fillId="2" borderId="0" xfId="1" applyNumberFormat="1" applyFont="1" applyFill="1">
      <alignment vertical="center"/>
    </xf>
    <xf numFmtId="176" fontId="15" fillId="2" borderId="0" xfId="1" applyNumberFormat="1" applyFont="1" applyFill="1">
      <alignment vertical="center"/>
    </xf>
    <xf numFmtId="176" fontId="9" fillId="2" borderId="0" xfId="1" applyNumberFormat="1" applyFont="1" applyFill="1">
      <alignment vertical="center"/>
    </xf>
    <xf numFmtId="178" fontId="9" fillId="2" borderId="0" xfId="1" applyNumberFormat="1" applyFont="1" applyFill="1">
      <alignment vertical="center"/>
    </xf>
    <xf numFmtId="178" fontId="10" fillId="2" borderId="0" xfId="1" applyNumberFormat="1" applyFont="1" applyFill="1">
      <alignment vertical="center"/>
    </xf>
    <xf numFmtId="176" fontId="16" fillId="2" borderId="0" xfId="1" applyNumberFormat="1" applyFont="1" applyFill="1">
      <alignment vertical="center"/>
    </xf>
    <xf numFmtId="43" fontId="2" fillId="2" borderId="0" xfId="1" applyFont="1" applyFill="1">
      <alignment vertical="center"/>
    </xf>
    <xf numFmtId="176" fontId="2" fillId="5" borderId="0" xfId="1" applyNumberFormat="1" applyFont="1" applyFill="1">
      <alignment vertical="center"/>
    </xf>
    <xf numFmtId="176" fontId="2" fillId="2" borderId="0" xfId="1" quotePrefix="1" applyNumberFormat="1" applyFont="1" applyFill="1">
      <alignment vertical="center"/>
    </xf>
    <xf numFmtId="176" fontId="17" fillId="2" borderId="0" xfId="1" applyNumberFormat="1" applyFont="1" applyFill="1">
      <alignment vertical="center"/>
    </xf>
    <xf numFmtId="176" fontId="18" fillId="2" borderId="0" xfId="1" applyNumberFormat="1" applyFont="1" applyFill="1">
      <alignment vertical="center"/>
    </xf>
    <xf numFmtId="176" fontId="14" fillId="6" borderId="0" xfId="1" applyNumberFormat="1" applyFont="1" applyFill="1">
      <alignment vertical="center"/>
    </xf>
    <xf numFmtId="176" fontId="19" fillId="2" borderId="0" xfId="1" applyNumberFormat="1" applyFont="1" applyFill="1">
      <alignment vertical="center"/>
    </xf>
    <xf numFmtId="176" fontId="20" fillId="2" borderId="0" xfId="1" applyNumberFormat="1" applyFont="1" applyFill="1">
      <alignment vertical="center"/>
    </xf>
    <xf numFmtId="176" fontId="21" fillId="2" borderId="0" xfId="1" applyNumberFormat="1" applyFont="1" applyFill="1">
      <alignment vertical="center"/>
    </xf>
    <xf numFmtId="176" fontId="22" fillId="2" borderId="0" xfId="1" applyNumberFormat="1" applyFont="1" applyFill="1">
      <alignment vertical="center"/>
    </xf>
    <xf numFmtId="9" fontId="21" fillId="2" borderId="0" xfId="2" applyFont="1" applyFill="1">
      <alignment vertical="center"/>
    </xf>
    <xf numFmtId="9" fontId="10" fillId="2" borderId="0" xfId="2" applyFont="1" applyFill="1">
      <alignment vertical="center"/>
    </xf>
    <xf numFmtId="176" fontId="23" fillId="2" borderId="0" xfId="1" applyNumberFormat="1" applyFont="1" applyFill="1">
      <alignment vertical="center"/>
    </xf>
    <xf numFmtId="9" fontId="2" fillId="2" borderId="0" xfId="2" applyFont="1" applyFill="1">
      <alignment vertical="center"/>
    </xf>
    <xf numFmtId="178" fontId="8" fillId="2" borderId="0" xfId="1" applyNumberFormat="1" applyFont="1" applyFill="1">
      <alignment vertical="center"/>
    </xf>
    <xf numFmtId="178" fontId="24" fillId="2" borderId="0" xfId="1" applyNumberFormat="1" applyFont="1" applyFill="1">
      <alignment vertical="center"/>
    </xf>
    <xf numFmtId="178" fontId="2" fillId="2" borderId="0" xfId="1" applyNumberFormat="1" applyFont="1" applyFill="1">
      <alignment vertical="center"/>
    </xf>
    <xf numFmtId="178" fontId="4" fillId="2" borderId="0" xfId="1" applyNumberFormat="1" applyFont="1" applyFill="1">
      <alignment vertical="center"/>
    </xf>
    <xf numFmtId="178" fontId="5" fillId="2" borderId="0" xfId="1" applyNumberFormat="1" applyFont="1" applyFill="1">
      <alignment vertical="center"/>
    </xf>
    <xf numFmtId="177" fontId="25" fillId="2" borderId="0" xfId="2" applyNumberFormat="1" applyFont="1" applyFill="1">
      <alignment vertical="center"/>
    </xf>
    <xf numFmtId="176" fontId="16" fillId="5" borderId="0" xfId="1" applyNumberFormat="1" applyFont="1" applyFill="1">
      <alignment vertical="center"/>
    </xf>
    <xf numFmtId="176" fontId="26" fillId="2" borderId="0" xfId="1" applyNumberFormat="1" applyFont="1" applyFill="1">
      <alignment vertical="center"/>
    </xf>
    <xf numFmtId="176" fontId="27" fillId="2" borderId="0" xfId="1" applyNumberFormat="1" applyFont="1" applyFill="1">
      <alignment vertical="center"/>
    </xf>
    <xf numFmtId="177" fontId="26" fillId="2" borderId="0" xfId="2" applyNumberFormat="1" applyFont="1" applyFill="1">
      <alignment vertical="center"/>
    </xf>
    <xf numFmtId="177" fontId="8" fillId="2" borderId="0" xfId="2" applyNumberFormat="1" applyFont="1" applyFill="1">
      <alignment vertical="center"/>
    </xf>
    <xf numFmtId="176" fontId="28" fillId="6" borderId="0" xfId="1" applyNumberFormat="1" applyFont="1" applyFill="1">
      <alignment vertical="center"/>
    </xf>
    <xf numFmtId="176" fontId="30" fillId="2" borderId="0" xfId="1" applyNumberFormat="1" applyFont="1" applyFill="1">
      <alignment vertical="center"/>
    </xf>
    <xf numFmtId="176" fontId="31" fillId="2" borderId="0" xfId="1" applyNumberFormat="1" applyFont="1" applyFill="1">
      <alignment vertical="center"/>
    </xf>
    <xf numFmtId="177" fontId="15" fillId="2" borderId="0" xfId="2" applyNumberFormat="1" applyFont="1" applyFill="1">
      <alignment vertical="center"/>
    </xf>
    <xf numFmtId="177" fontId="15" fillId="7" borderId="0" xfId="2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33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4" fillId="2" borderId="0" xfId="0" applyFont="1" applyFill="1">
      <alignment vertical="center"/>
    </xf>
    <xf numFmtId="176" fontId="35" fillId="2" borderId="0" xfId="1" applyNumberFormat="1" applyFont="1" applyFill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A36E-BAB9-B848-B3ED-A6A6755AE589}">
  <sheetPr>
    <tabColor rgb="FFFF0000"/>
  </sheetPr>
  <dimension ref="C10:N18"/>
  <sheetViews>
    <sheetView workbookViewId="0">
      <selection activeCell="C3" sqref="C3"/>
    </sheetView>
  </sheetViews>
  <sheetFormatPr baseColWidth="10" defaultRowHeight="16"/>
  <cols>
    <col min="1" max="16384" width="10.83203125" style="55"/>
  </cols>
  <sheetData>
    <row r="10" spans="3:14" ht="17" thickBot="1"/>
    <row r="11" spans="3:14"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3:14" ht="28">
      <c r="C12" s="59"/>
      <c r="D12" s="60" t="s">
        <v>216</v>
      </c>
      <c r="N12" s="61"/>
    </row>
    <row r="13" spans="3:14">
      <c r="C13" s="59"/>
      <c r="N13" s="61"/>
    </row>
    <row r="14" spans="3:14" ht="20">
      <c r="C14" s="59"/>
      <c r="D14" s="62" t="s">
        <v>217</v>
      </c>
      <c r="N14" s="61"/>
    </row>
    <row r="15" spans="3:14" ht="20">
      <c r="C15" s="59"/>
      <c r="D15" s="62"/>
      <c r="N15" s="61"/>
    </row>
    <row r="16" spans="3:14" ht="19">
      <c r="C16" s="59"/>
      <c r="D16" s="66" t="s">
        <v>218</v>
      </c>
      <c r="N16" s="61"/>
    </row>
    <row r="17" spans="3:14">
      <c r="C17" s="59"/>
      <c r="N17" s="61"/>
    </row>
    <row r="18" spans="3:14" ht="17" thickBot="1"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7078-B9FC-1A41-A437-0AFF9A651C17}">
  <dimension ref="B2:AE469"/>
  <sheetViews>
    <sheetView tabSelected="1" zoomScale="125" workbookViewId="0">
      <pane xSplit="5" ySplit="4" topLeftCell="G175" activePane="bottomRight" state="frozen"/>
      <selection pane="topRight" activeCell="F1" sqref="F1"/>
      <selection pane="bottomLeft" activeCell="A5" sqref="A5"/>
      <selection pane="bottomRight" activeCell="K68" sqref="K68"/>
    </sheetView>
  </sheetViews>
  <sheetFormatPr baseColWidth="10" defaultRowHeight="16" outlineLevelRow="1"/>
  <cols>
    <col min="1" max="1" width="5.83203125" style="1" customWidth="1"/>
    <col min="2" max="2" width="19.1640625" style="1" customWidth="1"/>
    <col min="3" max="10" width="10.83203125" style="1"/>
    <col min="11" max="15" width="11" style="1" bestFit="1" customWidth="1"/>
    <col min="16" max="21" width="12.5" style="1" bestFit="1" customWidth="1"/>
    <col min="22" max="16384" width="10.83203125" style="1"/>
  </cols>
  <sheetData>
    <row r="2" spans="2:31">
      <c r="B2" s="1" t="s">
        <v>0</v>
      </c>
      <c r="F2" s="2">
        <v>365</v>
      </c>
      <c r="G2" s="2">
        <v>366</v>
      </c>
      <c r="H2" s="2">
        <v>365</v>
      </c>
      <c r="I2" s="2">
        <v>365</v>
      </c>
      <c r="J2" s="2">
        <v>365</v>
      </c>
      <c r="K2" s="2">
        <v>366</v>
      </c>
      <c r="L2" s="2">
        <v>365</v>
      </c>
      <c r="M2" s="2">
        <v>365</v>
      </c>
      <c r="N2" s="2">
        <v>365</v>
      </c>
      <c r="O2" s="2">
        <v>366</v>
      </c>
      <c r="P2" s="2">
        <v>365</v>
      </c>
      <c r="Q2" s="2">
        <v>365</v>
      </c>
      <c r="R2" s="2">
        <v>365</v>
      </c>
      <c r="S2" s="2">
        <v>366</v>
      </c>
      <c r="T2" s="2">
        <v>365</v>
      </c>
      <c r="U2" s="2">
        <v>365</v>
      </c>
      <c r="X2" s="2">
        <v>181</v>
      </c>
      <c r="Y2" s="2">
        <v>184</v>
      </c>
      <c r="Z2" s="2">
        <v>181</v>
      </c>
      <c r="AA2" s="2">
        <v>184</v>
      </c>
      <c r="AB2" s="2">
        <v>181</v>
      </c>
      <c r="AC2" s="2">
        <v>184</v>
      </c>
      <c r="AD2" s="2">
        <v>182</v>
      </c>
      <c r="AE2" s="2">
        <v>184</v>
      </c>
    </row>
    <row r="3" spans="2:31" s="3" customFormat="1">
      <c r="I3" s="3" t="s">
        <v>1</v>
      </c>
    </row>
    <row r="4" spans="2:31" s="4" customFormat="1">
      <c r="B4" s="4" t="s">
        <v>2</v>
      </c>
      <c r="C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  <c r="T4" s="5" t="s">
        <v>18</v>
      </c>
      <c r="U4" s="5" t="s">
        <v>19</v>
      </c>
      <c r="X4" s="5" t="s">
        <v>20</v>
      </c>
      <c r="Y4" s="5" t="s">
        <v>21</v>
      </c>
      <c r="Z4" s="5" t="s">
        <v>22</v>
      </c>
      <c r="AA4" s="5" t="s">
        <v>23</v>
      </c>
      <c r="AB4" s="5" t="s">
        <v>24</v>
      </c>
      <c r="AC4" s="5" t="s">
        <v>25</v>
      </c>
      <c r="AD4" s="5" t="s">
        <v>26</v>
      </c>
      <c r="AE4" s="5" t="s">
        <v>27</v>
      </c>
    </row>
    <row r="5" spans="2:31" s="6" customFormat="1">
      <c r="B5" s="6" t="s">
        <v>28</v>
      </c>
      <c r="C5" s="6" t="s">
        <v>29</v>
      </c>
      <c r="F5" s="7">
        <v>5756.6819999999998</v>
      </c>
      <c r="G5" s="7">
        <v>7807.6859999999997</v>
      </c>
      <c r="H5" s="7">
        <v>10637.17</v>
      </c>
      <c r="I5" s="7">
        <v>16969.099999999999</v>
      </c>
      <c r="J5" s="7">
        <v>26555.792000000001</v>
      </c>
      <c r="K5" s="6">
        <f>K8+K10+K12+K14</f>
        <v>33735.956518339954</v>
      </c>
      <c r="L5" s="6">
        <f t="shared" ref="L5:U5" si="0">L8+L10+L12+L14</f>
        <v>55969.691333952418</v>
      </c>
      <c r="M5" s="6">
        <f t="shared" si="0"/>
        <v>72650.281501440448</v>
      </c>
      <c r="N5" s="6">
        <f t="shared" si="0"/>
        <v>87142.942350736354</v>
      </c>
      <c r="O5" s="6">
        <f t="shared" si="0"/>
        <v>99691.777945120673</v>
      </c>
      <c r="P5" s="6">
        <f t="shared" si="0"/>
        <v>112290.74416566949</v>
      </c>
      <c r="Q5" s="6">
        <f t="shared" si="0"/>
        <v>125978.99703263087</v>
      </c>
      <c r="R5" s="6">
        <f t="shared" si="0"/>
        <v>138535.9051456762</v>
      </c>
      <c r="S5" s="6">
        <f t="shared" si="0"/>
        <v>150056.57919303715</v>
      </c>
      <c r="T5" s="6">
        <f t="shared" si="0"/>
        <v>161875.78182129408</v>
      </c>
      <c r="U5" s="6">
        <f t="shared" si="0"/>
        <v>174858.94442933303</v>
      </c>
      <c r="X5" s="7">
        <v>4756.0649999999996</v>
      </c>
      <c r="Y5" s="6">
        <f>H5-X5</f>
        <v>5881.1050000000005</v>
      </c>
      <c r="Z5" s="7">
        <v>7342.6440000000002</v>
      </c>
      <c r="AA5" s="6">
        <f>I5-Z5</f>
        <v>9626.4559999999983</v>
      </c>
      <c r="AB5" s="7">
        <v>11694.626</v>
      </c>
      <c r="AC5" s="6">
        <f>J5-AB5</f>
        <v>14861.166000000001</v>
      </c>
      <c r="AD5" s="7">
        <v>9760.6049999999996</v>
      </c>
    </row>
    <row r="6" spans="2:31" s="8" customFormat="1">
      <c r="C6" s="8" t="s">
        <v>30</v>
      </c>
      <c r="G6" s="8">
        <f t="shared" ref="G6:I6" si="1">G5/F5-1</f>
        <v>0.35628231679290256</v>
      </c>
      <c r="H6" s="8">
        <f t="shared" si="1"/>
        <v>0.36239725829138125</v>
      </c>
      <c r="I6" s="8">
        <f t="shared" si="1"/>
        <v>0.59526452994546464</v>
      </c>
      <c r="J6" s="8">
        <f>J5/I5-1</f>
        <v>0.56494993841747676</v>
      </c>
      <c r="K6" s="8">
        <f>K5/J5-1</f>
        <v>0.27038035688560713</v>
      </c>
      <c r="L6" s="8">
        <f t="shared" ref="L6:U6" si="2">L5/K5-1</f>
        <v>0.65905156130745812</v>
      </c>
      <c r="M6" s="8">
        <f t="shared" si="2"/>
        <v>0.29802898264992272</v>
      </c>
      <c r="N6" s="8">
        <f t="shared" si="2"/>
        <v>0.19948526763806917</v>
      </c>
      <c r="O6" s="8">
        <f t="shared" si="2"/>
        <v>0.144002890605613</v>
      </c>
      <c r="P6" s="8">
        <f t="shared" si="2"/>
        <v>0.12637919074413961</v>
      </c>
      <c r="Q6" s="8">
        <f t="shared" si="2"/>
        <v>0.12190009932400359</v>
      </c>
      <c r="R6" s="8">
        <f t="shared" si="2"/>
        <v>9.9674615680523715E-2</v>
      </c>
      <c r="S6" s="8">
        <f t="shared" si="2"/>
        <v>8.3160203380101994E-2</v>
      </c>
      <c r="T6" s="8">
        <f t="shared" si="2"/>
        <v>7.876497446374775E-2</v>
      </c>
      <c r="U6" s="8">
        <f t="shared" si="2"/>
        <v>8.0204478161977066E-2</v>
      </c>
      <c r="Z6" s="8">
        <f>Z5/X5-1</f>
        <v>0.54384853865538019</v>
      </c>
      <c r="AA6" s="8">
        <f t="shared" ref="AA6:AD6" si="3">AA5/Y5-1</f>
        <v>0.63684477661935945</v>
      </c>
      <c r="AB6" s="8">
        <f t="shared" si="3"/>
        <v>0.59269957797218553</v>
      </c>
      <c r="AC6" s="8">
        <f t="shared" si="3"/>
        <v>0.54378371438045359</v>
      </c>
      <c r="AD6" s="8">
        <f t="shared" si="3"/>
        <v>-0.16537690046693243</v>
      </c>
    </row>
    <row r="8" spans="2:31">
      <c r="C8" s="1" t="s">
        <v>31</v>
      </c>
      <c r="F8" s="2">
        <v>5653.0889999999999</v>
      </c>
      <c r="G8" s="2">
        <v>7635.5959999999995</v>
      </c>
      <c r="H8" s="2">
        <v>10388.097</v>
      </c>
      <c r="I8" s="2">
        <v>16491.223000000002</v>
      </c>
      <c r="J8" s="2">
        <v>25588.523000000001</v>
      </c>
      <c r="K8" s="1">
        <f>K376</f>
        <v>31786.558518339953</v>
      </c>
      <c r="L8" s="1">
        <f t="shared" ref="L8:U8" si="4">L376</f>
        <v>52770.597733952418</v>
      </c>
      <c r="M8" s="1">
        <f t="shared" si="4"/>
        <v>67915.941126440448</v>
      </c>
      <c r="N8" s="1">
        <f t="shared" si="4"/>
        <v>80980.971431986356</v>
      </c>
      <c r="O8" s="1">
        <f t="shared" si="4"/>
        <v>92314.015398558171</v>
      </c>
      <c r="P8" s="1">
        <f t="shared" si="4"/>
        <v>103537.5312921226</v>
      </c>
      <c r="Q8" s="1">
        <f t="shared" si="4"/>
        <v>115674.3452207229</v>
      </c>
      <c r="R8" s="1">
        <f t="shared" si="4"/>
        <v>126491.96196851035</v>
      </c>
      <c r="S8" s="1">
        <f t="shared" si="4"/>
        <v>135988.87014589869</v>
      </c>
      <c r="T8" s="1">
        <f t="shared" si="4"/>
        <v>145449.82222306004</v>
      </c>
      <c r="U8" s="1">
        <f t="shared" si="4"/>
        <v>155645.11901182163</v>
      </c>
      <c r="X8" s="2">
        <v>4646.6840000000002</v>
      </c>
      <c r="Y8" s="1">
        <f>H8-X8</f>
        <v>5741.4129999999996</v>
      </c>
      <c r="Z8" s="2">
        <v>7152.0370000000003</v>
      </c>
      <c r="AA8" s="1">
        <f>I8-Z8</f>
        <v>9339.1860000000015</v>
      </c>
      <c r="AB8" s="2">
        <v>11331.412</v>
      </c>
      <c r="AC8" s="1">
        <f>J8-AB8</f>
        <v>14257.111000000001</v>
      </c>
      <c r="AD8" s="2">
        <v>9150.6530000000002</v>
      </c>
    </row>
    <row r="9" spans="2:31" s="8" customFormat="1">
      <c r="D9" s="8" t="s">
        <v>30</v>
      </c>
      <c r="G9" s="8">
        <f t="shared" ref="G9:I9" si="5">G8/F8-1</f>
        <v>0.35069446102829782</v>
      </c>
      <c r="H9" s="8">
        <f t="shared" si="5"/>
        <v>0.36048279662779437</v>
      </c>
      <c r="I9" s="8">
        <f t="shared" si="5"/>
        <v>0.58751145662193971</v>
      </c>
      <c r="J9" s="8">
        <f>J8/I8-1</f>
        <v>0.55164495683552395</v>
      </c>
      <c r="K9" s="8">
        <f t="shared" ref="K9:U9" si="6">K8/J8-1</f>
        <v>0.24221935429176389</v>
      </c>
      <c r="L9" s="8">
        <f t="shared" si="6"/>
        <v>0.66015448647909669</v>
      </c>
      <c r="M9" s="8">
        <f t="shared" si="6"/>
        <v>0.28700344591214599</v>
      </c>
      <c r="N9" s="8">
        <f t="shared" si="6"/>
        <v>0.19237059943294432</v>
      </c>
      <c r="O9" s="8">
        <f t="shared" si="6"/>
        <v>0.13994699947616862</v>
      </c>
      <c r="P9" s="8">
        <f t="shared" si="6"/>
        <v>0.12157976061498155</v>
      </c>
      <c r="Q9" s="8">
        <f t="shared" si="6"/>
        <v>0.11722139573095758</v>
      </c>
      <c r="R9" s="8">
        <f t="shared" si="6"/>
        <v>9.3517855900942637E-2</v>
      </c>
      <c r="S9" s="8">
        <f t="shared" si="6"/>
        <v>7.5079143604022569E-2</v>
      </c>
      <c r="T9" s="8">
        <f t="shared" si="6"/>
        <v>6.9571517632369018E-2</v>
      </c>
      <c r="U9" s="8">
        <f t="shared" si="6"/>
        <v>7.0094941560851165E-2</v>
      </c>
      <c r="Z9" s="8">
        <f>Z8/X8-1</f>
        <v>0.53917008344014783</v>
      </c>
      <c r="AA9" s="8">
        <f t="shared" ref="AA9:AD9" si="7">AA8/Y8-1</f>
        <v>0.62663546412703663</v>
      </c>
      <c r="AB9" s="8">
        <f t="shared" si="7"/>
        <v>0.58436149029989637</v>
      </c>
      <c r="AC9" s="8">
        <f t="shared" si="7"/>
        <v>0.52659032596631006</v>
      </c>
      <c r="AD9" s="8">
        <f t="shared" si="7"/>
        <v>-0.19245253813028773</v>
      </c>
    </row>
    <row r="10" spans="2:31">
      <c r="C10" s="1" t="s">
        <v>32</v>
      </c>
      <c r="F10" s="2">
        <v>0</v>
      </c>
      <c r="G10" s="2">
        <v>0</v>
      </c>
      <c r="H10" s="2">
        <v>0</v>
      </c>
      <c r="I10" s="2">
        <v>0</v>
      </c>
      <c r="J10" s="2">
        <v>21.154</v>
      </c>
      <c r="K10" s="1">
        <f>J10*(1+K11)</f>
        <v>63.462000000000003</v>
      </c>
      <c r="L10" s="1">
        <f t="shared" ref="L10:U10" si="8">K10*(1+L11)</f>
        <v>158.655</v>
      </c>
      <c r="M10" s="1">
        <f t="shared" si="8"/>
        <v>293.51175000000001</v>
      </c>
      <c r="N10" s="1">
        <f t="shared" si="8"/>
        <v>469.61880000000002</v>
      </c>
      <c r="O10" s="1">
        <f t="shared" si="8"/>
        <v>633.98538000000008</v>
      </c>
      <c r="P10" s="1">
        <f t="shared" si="8"/>
        <v>760.78245600000002</v>
      </c>
      <c r="Q10" s="1">
        <f t="shared" si="8"/>
        <v>874.89982439999994</v>
      </c>
      <c r="R10" s="1">
        <f t="shared" si="8"/>
        <v>962.38980684000001</v>
      </c>
      <c r="S10" s="1">
        <f t="shared" si="8"/>
        <v>1058.628787524</v>
      </c>
      <c r="T10" s="1">
        <f t="shared" si="8"/>
        <v>1164.4916662764001</v>
      </c>
      <c r="U10" s="1">
        <f t="shared" si="8"/>
        <v>1280.9408329040402</v>
      </c>
      <c r="X10" s="2">
        <v>0</v>
      </c>
      <c r="Y10" s="1">
        <f t="shared" ref="Y10:Y16" si="9">H10-X10</f>
        <v>0</v>
      </c>
      <c r="Z10" s="2">
        <v>0</v>
      </c>
      <c r="AA10" s="1">
        <f t="shared" ref="AA10:AA16" si="10">I10-Z10</f>
        <v>0</v>
      </c>
      <c r="AB10" s="2">
        <v>4.7610000000000001</v>
      </c>
      <c r="AC10" s="1">
        <f t="shared" ref="AC10:AC16" si="11">J10-AB10</f>
        <v>16.393000000000001</v>
      </c>
      <c r="AD10" s="2">
        <v>11.999000000000001</v>
      </c>
    </row>
    <row r="11" spans="2:31" s="8" customFormat="1">
      <c r="D11" s="8" t="s">
        <v>30</v>
      </c>
      <c r="K11" s="9">
        <v>2</v>
      </c>
      <c r="L11" s="9">
        <v>1.5</v>
      </c>
      <c r="M11" s="9">
        <v>0.85</v>
      </c>
      <c r="N11" s="9">
        <v>0.6</v>
      </c>
      <c r="O11" s="9">
        <v>0.35</v>
      </c>
      <c r="P11" s="9">
        <v>0.2</v>
      </c>
      <c r="Q11" s="9">
        <v>0.15</v>
      </c>
      <c r="R11" s="9">
        <v>0.1</v>
      </c>
      <c r="S11" s="9">
        <v>0.1</v>
      </c>
      <c r="T11" s="9">
        <v>0.1</v>
      </c>
      <c r="U11" s="9">
        <v>0.1</v>
      </c>
      <c r="Z11" s="8" t="e">
        <f>Z10/X10-1</f>
        <v>#DIV/0!</v>
      </c>
      <c r="AA11" s="8" t="e">
        <f t="shared" ref="AA11:AD11" si="12">AA10/Y10-1</f>
        <v>#DIV/0!</v>
      </c>
      <c r="AB11" s="8" t="e">
        <f t="shared" si="12"/>
        <v>#DIV/0!</v>
      </c>
      <c r="AC11" s="8" t="e">
        <f t="shared" si="12"/>
        <v>#DIV/0!</v>
      </c>
      <c r="AD11" s="8">
        <f t="shared" si="12"/>
        <v>1.5202688510817057</v>
      </c>
    </row>
    <row r="12" spans="2:31">
      <c r="C12" s="1" t="s">
        <v>33</v>
      </c>
      <c r="F12" s="2">
        <v>74.072999999999993</v>
      </c>
      <c r="G12" s="2">
        <v>146.11799999999999</v>
      </c>
      <c r="H12" s="2">
        <v>218.762</v>
      </c>
      <c r="I12" s="2">
        <v>323.58499999999998</v>
      </c>
      <c r="J12" s="2">
        <v>448.54300000000001</v>
      </c>
      <c r="K12" s="1">
        <f>J12*(1+K13)</f>
        <v>897.08600000000001</v>
      </c>
      <c r="L12" s="1">
        <f t="shared" ref="L12:P12" si="13">K12*(1+L13)</f>
        <v>1211.0661</v>
      </c>
      <c r="M12" s="1">
        <f t="shared" si="13"/>
        <v>1513.832625</v>
      </c>
      <c r="N12" s="1">
        <f t="shared" si="13"/>
        <v>1740.9075187499998</v>
      </c>
      <c r="O12" s="1">
        <f t="shared" si="13"/>
        <v>2002.0436465624996</v>
      </c>
      <c r="P12" s="1">
        <f t="shared" si="13"/>
        <v>2302.3501935468744</v>
      </c>
      <c r="Q12" s="1">
        <f>P12*(1+Q13)</f>
        <v>2601.6557187079679</v>
      </c>
      <c r="R12" s="1">
        <f t="shared" ref="R12:U12" si="14">Q12*(1+R13)</f>
        <v>2887.8378477658448</v>
      </c>
      <c r="S12" s="1">
        <f t="shared" si="14"/>
        <v>3176.6216325424293</v>
      </c>
      <c r="T12" s="1">
        <f t="shared" si="14"/>
        <v>3462.5175794712482</v>
      </c>
      <c r="U12" s="1">
        <f t="shared" si="14"/>
        <v>3774.1441616236607</v>
      </c>
      <c r="X12" s="2">
        <v>97.73</v>
      </c>
      <c r="Y12" s="1">
        <f t="shared" si="9"/>
        <v>121.032</v>
      </c>
      <c r="Z12" s="2">
        <v>133.357</v>
      </c>
      <c r="AA12" s="1">
        <f t="shared" si="10"/>
        <v>190.22799999999998</v>
      </c>
      <c r="AB12" s="2">
        <v>183.15600000000001</v>
      </c>
      <c r="AC12" s="1">
        <f t="shared" si="11"/>
        <v>265.387</v>
      </c>
      <c r="AD12" s="2">
        <v>409.64499999999998</v>
      </c>
    </row>
    <row r="13" spans="2:31" s="8" customFormat="1">
      <c r="D13" s="8" t="s">
        <v>30</v>
      </c>
      <c r="G13" s="8">
        <f t="shared" ref="G13:I13" si="15">G12/F12-1</f>
        <v>0.97262160301324374</v>
      </c>
      <c r="H13" s="8">
        <f t="shared" si="15"/>
        <v>0.49715982972665929</v>
      </c>
      <c r="I13" s="8">
        <f t="shared" si="15"/>
        <v>0.47916457154350378</v>
      </c>
      <c r="J13" s="8">
        <f>J12/I12-1</f>
        <v>0.38616746758965981</v>
      </c>
      <c r="K13" s="9">
        <v>1</v>
      </c>
      <c r="L13" s="9">
        <v>0.35</v>
      </c>
      <c r="M13" s="9">
        <v>0.25</v>
      </c>
      <c r="N13" s="9">
        <v>0.15</v>
      </c>
      <c r="O13" s="9">
        <v>0.15</v>
      </c>
      <c r="P13" s="9">
        <v>0.15</v>
      </c>
      <c r="Q13" s="9">
        <v>0.13</v>
      </c>
      <c r="R13" s="9">
        <v>0.11</v>
      </c>
      <c r="S13" s="9">
        <v>0.1</v>
      </c>
      <c r="T13" s="9">
        <v>0.09</v>
      </c>
      <c r="U13" s="9">
        <v>0.09</v>
      </c>
      <c r="Z13" s="8">
        <f>Z12/X12-1</f>
        <v>0.36454517548347476</v>
      </c>
      <c r="AA13" s="8">
        <f t="shared" ref="AA13:AD13" si="16">AA12/Y12-1</f>
        <v>0.57171657082424465</v>
      </c>
      <c r="AB13" s="8">
        <f t="shared" si="16"/>
        <v>0.3734262168465099</v>
      </c>
      <c r="AC13" s="8">
        <f t="shared" si="16"/>
        <v>0.39509956473284702</v>
      </c>
      <c r="AD13" s="8">
        <f t="shared" si="16"/>
        <v>1.2365906658804513</v>
      </c>
    </row>
    <row r="14" spans="2:31">
      <c r="C14" s="1" t="s">
        <v>34</v>
      </c>
      <c r="F14" s="2">
        <v>29.52</v>
      </c>
      <c r="G14" s="2">
        <v>25.972000000000001</v>
      </c>
      <c r="H14" s="2">
        <v>30.311</v>
      </c>
      <c r="I14" s="2">
        <v>154.292</v>
      </c>
      <c r="J14" s="2">
        <v>494.42500000000001</v>
      </c>
      <c r="K14" s="1">
        <f>J14*(1+K15)</f>
        <v>988.85</v>
      </c>
      <c r="L14" s="1">
        <f t="shared" ref="L14:U14" si="17">K14*(1+L15)</f>
        <v>1829.3725000000002</v>
      </c>
      <c r="M14" s="1">
        <f t="shared" si="17"/>
        <v>2926.9960000000005</v>
      </c>
      <c r="N14" s="1">
        <f t="shared" si="17"/>
        <v>3951.4446000000012</v>
      </c>
      <c r="O14" s="1">
        <f t="shared" si="17"/>
        <v>4741.7335200000016</v>
      </c>
      <c r="P14" s="1">
        <f t="shared" si="17"/>
        <v>5690.0802240000021</v>
      </c>
      <c r="Q14" s="1">
        <f t="shared" si="17"/>
        <v>6828.0962688000027</v>
      </c>
      <c r="R14" s="1">
        <f t="shared" si="17"/>
        <v>8193.7155225600036</v>
      </c>
      <c r="S14" s="1">
        <f t="shared" si="17"/>
        <v>9832.4586270720047</v>
      </c>
      <c r="T14" s="1">
        <f t="shared" si="17"/>
        <v>11798.950352486405</v>
      </c>
      <c r="U14" s="1">
        <f t="shared" si="17"/>
        <v>14158.740422983685</v>
      </c>
      <c r="X14" s="2">
        <v>11.651</v>
      </c>
      <c r="Y14" s="1">
        <f t="shared" si="9"/>
        <v>18.66</v>
      </c>
      <c r="Z14" s="2">
        <v>57.25</v>
      </c>
      <c r="AA14" s="1">
        <f t="shared" si="10"/>
        <v>97.042000000000002</v>
      </c>
      <c r="AB14" s="2">
        <v>175.297</v>
      </c>
      <c r="AC14" s="1">
        <f t="shared" si="11"/>
        <v>319.12800000000004</v>
      </c>
      <c r="AD14" s="2">
        <v>182.15</v>
      </c>
    </row>
    <row r="15" spans="2:31" s="8" customFormat="1">
      <c r="D15" s="8" t="s">
        <v>30</v>
      </c>
      <c r="G15" s="8">
        <f t="shared" ref="G15:I15" si="18">G14/F14-1</f>
        <v>-0.12018970189701894</v>
      </c>
      <c r="H15" s="8">
        <f t="shared" si="18"/>
        <v>0.16706453103342045</v>
      </c>
      <c r="I15" s="8">
        <f t="shared" si="18"/>
        <v>4.0902972518227703</v>
      </c>
      <c r="J15" s="8">
        <f>J14/I14-1</f>
        <v>2.2044759287584581</v>
      </c>
      <c r="K15" s="9">
        <v>1</v>
      </c>
      <c r="L15" s="9">
        <v>0.85</v>
      </c>
      <c r="M15" s="9">
        <v>0.6</v>
      </c>
      <c r="N15" s="9">
        <v>0.35</v>
      </c>
      <c r="O15" s="9">
        <v>0.2</v>
      </c>
      <c r="P15" s="9">
        <v>0.2</v>
      </c>
      <c r="Q15" s="9">
        <v>0.2</v>
      </c>
      <c r="R15" s="9">
        <v>0.2</v>
      </c>
      <c r="S15" s="9">
        <v>0.2</v>
      </c>
      <c r="T15" s="9">
        <v>0.2</v>
      </c>
      <c r="U15" s="9">
        <v>0.2</v>
      </c>
      <c r="Z15" s="8">
        <f>Z14/X14-1</f>
        <v>3.9137413097588194</v>
      </c>
      <c r="AA15" s="8">
        <f t="shared" ref="AA15:AD15" si="19">AA14/Y14-1</f>
        <v>4.2005359056806002</v>
      </c>
      <c r="AB15" s="8">
        <f t="shared" si="19"/>
        <v>2.0619563318777292</v>
      </c>
      <c r="AC15" s="8">
        <f t="shared" si="19"/>
        <v>2.288555470827065</v>
      </c>
      <c r="AD15" s="8">
        <f t="shared" si="19"/>
        <v>3.9093652486922315E-2</v>
      </c>
    </row>
    <row r="16" spans="2:31">
      <c r="C16" s="1" t="s">
        <v>35</v>
      </c>
      <c r="F16" s="2">
        <v>0</v>
      </c>
      <c r="G16" s="2">
        <v>0</v>
      </c>
      <c r="H16" s="2">
        <v>0</v>
      </c>
      <c r="I16" s="2">
        <v>0</v>
      </c>
      <c r="J16" s="2">
        <v>3.1469999999999998</v>
      </c>
      <c r="X16" s="2">
        <v>0</v>
      </c>
      <c r="Y16" s="1">
        <f t="shared" si="9"/>
        <v>0</v>
      </c>
      <c r="Z16" s="2">
        <v>0</v>
      </c>
      <c r="AA16" s="1">
        <f t="shared" si="10"/>
        <v>0</v>
      </c>
      <c r="AB16" s="2">
        <v>0</v>
      </c>
      <c r="AC16" s="1">
        <f t="shared" si="11"/>
        <v>3.1469999999999998</v>
      </c>
      <c r="AD16" s="2">
        <v>6.1580000000000004</v>
      </c>
    </row>
    <row r="18" spans="2:30" s="10" customFormat="1" ht="19">
      <c r="C18" s="11" t="s">
        <v>36</v>
      </c>
    </row>
    <row r="19" spans="2:30" s="10" customFormat="1">
      <c r="C19" s="10" t="s">
        <v>31</v>
      </c>
      <c r="F19" s="12">
        <f>F8/F$5</f>
        <v>0.98200473814603628</v>
      </c>
      <c r="G19" s="12">
        <f>G8/G$5</f>
        <v>0.97795889844955342</v>
      </c>
      <c r="H19" s="12">
        <f>H8/H$5</f>
        <v>0.97658465550517659</v>
      </c>
      <c r="I19" s="12">
        <f>I8/I$5</f>
        <v>0.9718384003865852</v>
      </c>
      <c r="J19" s="12">
        <f>J8/J$5</f>
        <v>0.96357596866250494</v>
      </c>
      <c r="K19" s="12">
        <f t="shared" ref="K19:O19" si="20">K8/K$5</f>
        <v>0.94221601516055298</v>
      </c>
      <c r="L19" s="12">
        <f t="shared" si="20"/>
        <v>0.94284239337837195</v>
      </c>
      <c r="M19" s="12">
        <f t="shared" si="20"/>
        <v>0.93483383302642631</v>
      </c>
      <c r="N19" s="12">
        <f t="shared" si="20"/>
        <v>0.92928892745038316</v>
      </c>
      <c r="O19" s="12">
        <f t="shared" si="20"/>
        <v>0.92599427256053268</v>
      </c>
      <c r="P19" s="12">
        <f>P8/P$5</f>
        <v>0.92204866982952105</v>
      </c>
      <c r="Q19" s="12">
        <f t="shared" ref="Q19:U19" si="21">Q8/Q$5</f>
        <v>0.91820341442122388</v>
      </c>
      <c r="R19" s="12">
        <f t="shared" si="21"/>
        <v>0.91306265935534081</v>
      </c>
      <c r="S19" s="12">
        <f t="shared" si="21"/>
        <v>0.90625063477529133</v>
      </c>
      <c r="T19" s="12">
        <f t="shared" si="21"/>
        <v>0.8985273806036792</v>
      </c>
      <c r="U19" s="12">
        <f t="shared" si="21"/>
        <v>0.89011814362589603</v>
      </c>
      <c r="X19" s="12">
        <f t="shared" ref="X19:AD19" si="22">X8/X$5</f>
        <v>0.97700178614043343</v>
      </c>
      <c r="Y19" s="12">
        <f t="shared" si="22"/>
        <v>0.97624732086912225</v>
      </c>
      <c r="Z19" s="12">
        <f t="shared" si="22"/>
        <v>0.97404109473372258</v>
      </c>
      <c r="AA19" s="12">
        <f t="shared" si="22"/>
        <v>0.97015828047206609</v>
      </c>
      <c r="AB19" s="12">
        <f t="shared" si="22"/>
        <v>0.96894180284174969</v>
      </c>
      <c r="AC19" s="12">
        <f t="shared" si="22"/>
        <v>0.95935345853750642</v>
      </c>
      <c r="AD19" s="12">
        <f t="shared" si="22"/>
        <v>0.93750879171936585</v>
      </c>
    </row>
    <row r="20" spans="2:30" s="10" customFormat="1">
      <c r="C20" s="10" t="s">
        <v>32</v>
      </c>
      <c r="F20" s="12">
        <f>F10/F$5</f>
        <v>0</v>
      </c>
      <c r="G20" s="12">
        <f>G10/G$5</f>
        <v>0</v>
      </c>
      <c r="H20" s="12">
        <f>H10/H$5</f>
        <v>0</v>
      </c>
      <c r="I20" s="12">
        <f>I10/I$5</f>
        <v>0</v>
      </c>
      <c r="J20" s="12">
        <f>J10/J$5</f>
        <v>7.9658704963497221E-4</v>
      </c>
      <c r="K20" s="12">
        <f t="shared" ref="K20:O20" si="23">K10/K$5</f>
        <v>1.8811383031484528E-3</v>
      </c>
      <c r="L20" s="12">
        <f t="shared" si="23"/>
        <v>2.8346591917643195E-3</v>
      </c>
      <c r="M20" s="12">
        <f t="shared" si="23"/>
        <v>4.0400634923098066E-3</v>
      </c>
      <c r="N20" s="12">
        <f t="shared" si="23"/>
        <v>5.3890629273207202E-3</v>
      </c>
      <c r="O20" s="12">
        <f t="shared" si="23"/>
        <v>6.3594550430127019E-3</v>
      </c>
      <c r="P20" s="12">
        <f>P10/P$5</f>
        <v>6.7751127811351095E-3</v>
      </c>
      <c r="Q20" s="12">
        <f t="shared" ref="Q20:U20" si="24">Q10/Q$5</f>
        <v>6.9448070313925811E-3</v>
      </c>
      <c r="R20" s="12">
        <f t="shared" si="24"/>
        <v>6.9468619404334754E-3</v>
      </c>
      <c r="S20" s="12">
        <f t="shared" si="24"/>
        <v>7.0548641933396942E-3</v>
      </c>
      <c r="T20" s="12">
        <f t="shared" si="24"/>
        <v>7.1937361671677571E-3</v>
      </c>
      <c r="U20" s="12">
        <f t="shared" si="24"/>
        <v>7.3255665421319976E-3</v>
      </c>
      <c r="X20" s="12">
        <f t="shared" ref="X20:AD20" si="25">X10/X$5</f>
        <v>0</v>
      </c>
      <c r="Y20" s="12">
        <f t="shared" si="25"/>
        <v>0</v>
      </c>
      <c r="Z20" s="12">
        <f t="shared" si="25"/>
        <v>0</v>
      </c>
      <c r="AA20" s="12">
        <f t="shared" si="25"/>
        <v>0</v>
      </c>
      <c r="AB20" s="12">
        <f t="shared" si="25"/>
        <v>4.071100691890446E-4</v>
      </c>
      <c r="AC20" s="12">
        <f t="shared" si="25"/>
        <v>1.1030762996658539E-3</v>
      </c>
      <c r="AD20" s="12">
        <f t="shared" si="25"/>
        <v>1.2293295343884935E-3</v>
      </c>
    </row>
    <row r="21" spans="2:30" s="10" customFormat="1">
      <c r="C21" s="10" t="s">
        <v>33</v>
      </c>
      <c r="F21" s="12">
        <f>F12/F$5</f>
        <v>1.2867307938843938E-2</v>
      </c>
      <c r="G21" s="12">
        <f>G12/G$5</f>
        <v>1.8714635808868337E-2</v>
      </c>
      <c r="H21" s="12">
        <f>H12/H$5</f>
        <v>2.056580838700519E-2</v>
      </c>
      <c r="I21" s="12">
        <f>I12/I$5</f>
        <v>1.9069072608447118E-2</v>
      </c>
      <c r="J21" s="12">
        <f>J12/J$5</f>
        <v>1.6890590195916582E-2</v>
      </c>
      <c r="K21" s="12">
        <f t="shared" ref="K21:O21" si="26">K12/K$5</f>
        <v>2.659139068762776E-2</v>
      </c>
      <c r="L21" s="12">
        <f t="shared" si="26"/>
        <v>2.163789135040917E-2</v>
      </c>
      <c r="M21" s="12">
        <f t="shared" si="26"/>
        <v>2.0837257526249021E-2</v>
      </c>
      <c r="N21" s="12">
        <f t="shared" si="26"/>
        <v>1.9977607730332612E-2</v>
      </c>
      <c r="O21" s="12">
        <f t="shared" si="26"/>
        <v>2.0082334650151436E-2</v>
      </c>
      <c r="P21" s="12">
        <f>P12/P$5</f>
        <v>2.0503472576066238E-2</v>
      </c>
      <c r="Q21" s="12">
        <f t="shared" ref="Q21:U21" si="27">Q12/Q$5</f>
        <v>2.0651503663218492E-2</v>
      </c>
      <c r="R21" s="12">
        <f t="shared" si="27"/>
        <v>2.0845410759969877E-2</v>
      </c>
      <c r="S21" s="12">
        <f t="shared" si="27"/>
        <v>2.1169492531586575E-2</v>
      </c>
      <c r="T21" s="12">
        <f t="shared" si="27"/>
        <v>2.1389966680091538E-2</v>
      </c>
      <c r="U21" s="12">
        <f t="shared" si="27"/>
        <v>2.1583935405425782E-2</v>
      </c>
      <c r="X21" s="12">
        <f t="shared" ref="X21:AD21" si="28">X12/X$5</f>
        <v>2.0548499652548905E-2</v>
      </c>
      <c r="Y21" s="12">
        <f t="shared" si="28"/>
        <v>2.0579806005844137E-2</v>
      </c>
      <c r="Z21" s="12">
        <f t="shared" si="28"/>
        <v>1.8161986336257076E-2</v>
      </c>
      <c r="AA21" s="12">
        <f t="shared" si="28"/>
        <v>1.9760958757823233E-2</v>
      </c>
      <c r="AB21" s="12">
        <f t="shared" si="28"/>
        <v>1.5661552579791779E-2</v>
      </c>
      <c r="AC21" s="12">
        <f t="shared" si="28"/>
        <v>1.7857750865578111E-2</v>
      </c>
      <c r="AD21" s="12">
        <f t="shared" si="28"/>
        <v>4.196922219473076E-2</v>
      </c>
    </row>
    <row r="22" spans="2:30" s="10" customFormat="1">
      <c r="C22" s="10" t="s">
        <v>34</v>
      </c>
      <c r="F22" s="12">
        <f>F14/F$5</f>
        <v>5.127953915119856E-3</v>
      </c>
      <c r="G22" s="12">
        <f>G14/G$5</f>
        <v>3.3264657415782348E-3</v>
      </c>
      <c r="H22" s="12">
        <f>H14/H$5</f>
        <v>2.8495361078181508E-3</v>
      </c>
      <c r="I22" s="12">
        <f>I14/I$5</f>
        <v>9.0925270049678538E-3</v>
      </c>
      <c r="J22" s="12">
        <f>J14/J$5</f>
        <v>1.8618348870935577E-2</v>
      </c>
      <c r="K22" s="12">
        <f t="shared" ref="K22:O22" si="29">K14/K$5</f>
        <v>2.9311455848670818E-2</v>
      </c>
      <c r="L22" s="12">
        <f t="shared" si="29"/>
        <v>3.268505607945462E-2</v>
      </c>
      <c r="M22" s="12">
        <f t="shared" si="29"/>
        <v>4.0288845955014869E-2</v>
      </c>
      <c r="N22" s="12">
        <f t="shared" si="29"/>
        <v>4.5344401891963565E-2</v>
      </c>
      <c r="O22" s="12">
        <f t="shared" si="29"/>
        <v>4.7563937746303193E-2</v>
      </c>
      <c r="P22" s="12">
        <f>P14/P$5</f>
        <v>5.0672744813277527E-2</v>
      </c>
      <c r="Q22" s="12">
        <f t="shared" ref="Q22:U22" si="30">Q14/Q$5</f>
        <v>5.4200274884165019E-2</v>
      </c>
      <c r="R22" s="12">
        <f t="shared" si="30"/>
        <v>5.9145067944255857E-2</v>
      </c>
      <c r="S22" s="12">
        <f t="shared" si="30"/>
        <v>6.5525008499782225E-2</v>
      </c>
      <c r="T22" s="12">
        <f t="shared" si="30"/>
        <v>7.2888916549061586E-2</v>
      </c>
      <c r="U22" s="12">
        <f t="shared" si="30"/>
        <v>8.0972354426546114E-2</v>
      </c>
      <c r="X22" s="12">
        <f t="shared" ref="X22:AD22" si="31">X14/X$5</f>
        <v>2.4497142070177766E-3</v>
      </c>
      <c r="Y22" s="12">
        <f t="shared" si="31"/>
        <v>3.1728731250334754E-3</v>
      </c>
      <c r="Z22" s="12">
        <f t="shared" si="31"/>
        <v>7.7969189300203029E-3</v>
      </c>
      <c r="AA22" s="12">
        <f t="shared" si="31"/>
        <v>1.0080760770111037E-2</v>
      </c>
      <c r="AB22" s="12">
        <f t="shared" si="31"/>
        <v>1.4989534509269471E-2</v>
      </c>
      <c r="AC22" s="12">
        <f t="shared" si="31"/>
        <v>2.1473954331712602E-2</v>
      </c>
      <c r="AD22" s="12">
        <f t="shared" si="31"/>
        <v>1.8661753036825074E-2</v>
      </c>
    </row>
    <row r="23" spans="2:30" s="10" customFormat="1">
      <c r="C23" s="10" t="s">
        <v>35</v>
      </c>
      <c r="F23" s="12">
        <f t="shared" ref="F23:U23" si="32">F16/F$5</f>
        <v>0</v>
      </c>
      <c r="G23" s="12">
        <f t="shared" si="32"/>
        <v>0</v>
      </c>
      <c r="H23" s="12">
        <f t="shared" si="32"/>
        <v>0</v>
      </c>
      <c r="I23" s="12">
        <f t="shared" si="32"/>
        <v>0</v>
      </c>
      <c r="J23" s="12">
        <f t="shared" si="32"/>
        <v>1.1850522100790666E-4</v>
      </c>
      <c r="K23" s="12">
        <f t="shared" si="32"/>
        <v>0</v>
      </c>
      <c r="L23" s="12">
        <f t="shared" si="32"/>
        <v>0</v>
      </c>
      <c r="M23" s="12">
        <f t="shared" si="32"/>
        <v>0</v>
      </c>
      <c r="N23" s="12">
        <f t="shared" si="32"/>
        <v>0</v>
      </c>
      <c r="O23" s="12">
        <f t="shared" si="32"/>
        <v>0</v>
      </c>
      <c r="P23" s="12">
        <f t="shared" si="32"/>
        <v>0</v>
      </c>
      <c r="Q23" s="12">
        <f t="shared" si="32"/>
        <v>0</v>
      </c>
      <c r="R23" s="12">
        <f t="shared" si="32"/>
        <v>0</v>
      </c>
      <c r="S23" s="12">
        <f t="shared" si="32"/>
        <v>0</v>
      </c>
      <c r="T23" s="12">
        <f t="shared" si="32"/>
        <v>0</v>
      </c>
      <c r="U23" s="12">
        <f t="shared" si="32"/>
        <v>0</v>
      </c>
      <c r="X23" s="12">
        <f t="shared" ref="X23:AD23" si="33">X16/X$5</f>
        <v>0</v>
      </c>
      <c r="Y23" s="12">
        <f t="shared" si="33"/>
        <v>0</v>
      </c>
      <c r="Z23" s="12">
        <f t="shared" si="33"/>
        <v>0</v>
      </c>
      <c r="AA23" s="12">
        <f t="shared" si="33"/>
        <v>0</v>
      </c>
      <c r="AB23" s="12">
        <f t="shared" si="33"/>
        <v>0</v>
      </c>
      <c r="AC23" s="12">
        <f t="shared" si="33"/>
        <v>2.1175996553702447E-4</v>
      </c>
      <c r="AD23" s="12">
        <f t="shared" si="33"/>
        <v>6.3090351468991941E-4</v>
      </c>
    </row>
    <row r="25" spans="2:30" s="6" customFormat="1">
      <c r="B25" s="6" t="s">
        <v>37</v>
      </c>
      <c r="F25" s="7">
        <v>-2599.7399999999998</v>
      </c>
      <c r="G25" s="7">
        <v>-3179.2809999999999</v>
      </c>
      <c r="H25" s="7">
        <v>-4313.2299999999996</v>
      </c>
      <c r="I25" s="7">
        <v>-6935.0330000000004</v>
      </c>
      <c r="J25" s="7">
        <v>-11238.992</v>
      </c>
      <c r="K25" s="6">
        <f>K32-K5</f>
        <v>-15181.180433252979</v>
      </c>
      <c r="L25" s="6">
        <f t="shared" ref="L25:U25" si="34">L32-L5</f>
        <v>-24066.967273599541</v>
      </c>
      <c r="M25" s="6">
        <f t="shared" si="34"/>
        <v>-30513.118230604989</v>
      </c>
      <c r="N25" s="6">
        <f t="shared" si="34"/>
        <v>-36164.321075555592</v>
      </c>
      <c r="O25" s="6">
        <f t="shared" si="34"/>
        <v>-40873.628957499481</v>
      </c>
      <c r="P25" s="6">
        <f t="shared" si="34"/>
        <v>-45477.751387096141</v>
      </c>
      <c r="Q25" s="6">
        <f t="shared" si="34"/>
        <v>-50391.598813052347</v>
      </c>
      <c r="R25" s="6">
        <f t="shared" si="34"/>
        <v>-55414.362058270475</v>
      </c>
      <c r="S25" s="6">
        <f t="shared" si="34"/>
        <v>-60022.631677214857</v>
      </c>
      <c r="T25" s="6">
        <f t="shared" si="34"/>
        <v>-64750.312728517631</v>
      </c>
      <c r="U25" s="6">
        <f t="shared" si="34"/>
        <v>-69943.577771733209</v>
      </c>
      <c r="X25" s="7">
        <v>-1949.182</v>
      </c>
      <c r="Y25" s="6">
        <f>H25-X25</f>
        <v>-2364.0479999999998</v>
      </c>
      <c r="Z25" s="7">
        <v>-3066.3270000000002</v>
      </c>
      <c r="AA25" s="6">
        <f>I25-Z25</f>
        <v>-3868.7060000000001</v>
      </c>
      <c r="AB25" s="7">
        <v>-4902.5829999999996</v>
      </c>
      <c r="AC25" s="6">
        <f>J25-AB25</f>
        <v>-6336.4090000000006</v>
      </c>
      <c r="AD25" s="7">
        <v>-4348.1840000000002</v>
      </c>
    </row>
    <row r="26" spans="2:30" hidden="1" outlineLevel="1"/>
    <row r="27" spans="2:30" hidden="1" outlineLevel="1">
      <c r="C27" s="1" t="s">
        <v>38</v>
      </c>
      <c r="F27" s="2">
        <v>-2438.9850000000001</v>
      </c>
      <c r="G27" s="2">
        <v>-3000.654</v>
      </c>
      <c r="H27" s="2">
        <v>-4038.8510000000001</v>
      </c>
      <c r="I27" s="2"/>
      <c r="J27" s="2"/>
      <c r="X27" s="2">
        <v>-1817.53</v>
      </c>
      <c r="Y27" s="1">
        <f>H27-X27</f>
        <v>-2221.3209999999999</v>
      </c>
      <c r="Z27" s="2">
        <v>-2885.3539999999998</v>
      </c>
    </row>
    <row r="28" spans="2:30" s="13" customFormat="1" hidden="1" outlineLevel="1">
      <c r="D28" s="13" t="s">
        <v>39</v>
      </c>
      <c r="F28" s="13">
        <f t="shared" ref="F28:G28" si="35">F27/F25</f>
        <v>0.93816497034318824</v>
      </c>
      <c r="G28" s="13">
        <f t="shared" si="35"/>
        <v>0.94381528402176473</v>
      </c>
      <c r="H28" s="13">
        <f>H27/H25</f>
        <v>0.93638665223046313</v>
      </c>
      <c r="X28" s="13">
        <f>X27/X25</f>
        <v>0.9324578207678913</v>
      </c>
      <c r="Y28" s="13">
        <f>Y27/Y25</f>
        <v>0.93962601436180659</v>
      </c>
      <c r="Z28" s="13">
        <f>Z27/Z25</f>
        <v>0.94098052816936995</v>
      </c>
    </row>
    <row r="29" spans="2:30" hidden="1" outlineLevel="1">
      <c r="C29" s="1" t="s">
        <v>40</v>
      </c>
      <c r="F29" s="2">
        <v>-147.899</v>
      </c>
      <c r="G29" s="2">
        <v>-165.98</v>
      </c>
      <c r="H29" s="2">
        <v>-254.09899999999999</v>
      </c>
      <c r="I29" s="2"/>
      <c r="J29" s="2"/>
      <c r="X29" s="2">
        <v>-122.227</v>
      </c>
      <c r="Y29" s="1">
        <f t="shared" ref="Y29:Y30" si="36">H29-X29</f>
        <v>-131.87199999999999</v>
      </c>
      <c r="Z29" s="2">
        <v>-167.23099999999999</v>
      </c>
    </row>
    <row r="30" spans="2:30" hidden="1" outlineLevel="1">
      <c r="C30" s="1" t="s">
        <v>41</v>
      </c>
      <c r="F30" s="2">
        <v>-12.856</v>
      </c>
      <c r="G30" s="2">
        <v>-12.647</v>
      </c>
      <c r="H30" s="2">
        <v>-20.28</v>
      </c>
      <c r="I30" s="2"/>
      <c r="J30" s="2"/>
      <c r="X30" s="2">
        <v>-9.4250000000000007</v>
      </c>
      <c r="Y30" s="1">
        <f t="shared" si="36"/>
        <v>-10.855</v>
      </c>
      <c r="Z30" s="2">
        <v>-13.742000000000001</v>
      </c>
    </row>
    <row r="31" spans="2:30" collapsed="1"/>
    <row r="32" spans="2:30" s="6" customFormat="1">
      <c r="B32" s="6" t="s">
        <v>42</v>
      </c>
      <c r="C32" s="6" t="s">
        <v>29</v>
      </c>
      <c r="F32" s="6">
        <f>F5+F25</f>
        <v>3156.942</v>
      </c>
      <c r="G32" s="6">
        <f>G5+G25</f>
        <v>4628.4049999999997</v>
      </c>
      <c r="H32" s="6">
        <f>H5+H25</f>
        <v>6323.9400000000005</v>
      </c>
      <c r="I32" s="6">
        <f>I5+I25</f>
        <v>10034.066999999999</v>
      </c>
      <c r="J32" s="6">
        <f>J5+J25</f>
        <v>15316.800000000001</v>
      </c>
      <c r="K32" s="6">
        <f>K33*K5</f>
        <v>18554.776085086974</v>
      </c>
      <c r="L32" s="6">
        <f t="shared" ref="L32:U32" si="37">L33*L5</f>
        <v>31902.724060352877</v>
      </c>
      <c r="M32" s="6">
        <f t="shared" si="37"/>
        <v>42137.163270835459</v>
      </c>
      <c r="N32" s="6">
        <f t="shared" si="37"/>
        <v>50978.621275180762</v>
      </c>
      <c r="O32" s="6">
        <f t="shared" si="37"/>
        <v>58818.148987621193</v>
      </c>
      <c r="P32" s="6">
        <f t="shared" si="37"/>
        <v>66812.992778573345</v>
      </c>
      <c r="Q32" s="6">
        <f t="shared" si="37"/>
        <v>75587.398219578521</v>
      </c>
      <c r="R32" s="6">
        <f t="shared" si="37"/>
        <v>83121.54308740572</v>
      </c>
      <c r="S32" s="6">
        <f t="shared" si="37"/>
        <v>90033.947515822292</v>
      </c>
      <c r="T32" s="6">
        <f t="shared" si="37"/>
        <v>97125.469092776446</v>
      </c>
      <c r="U32" s="6">
        <f t="shared" si="37"/>
        <v>104915.36665759982</v>
      </c>
      <c r="X32" s="6">
        <f t="shared" ref="X32:AD32" si="38">X5+X25</f>
        <v>2806.8829999999998</v>
      </c>
      <c r="Y32" s="6">
        <f t="shared" si="38"/>
        <v>3517.0570000000007</v>
      </c>
      <c r="Z32" s="6">
        <f t="shared" si="38"/>
        <v>4276.317</v>
      </c>
      <c r="AA32" s="6">
        <f t="shared" si="38"/>
        <v>5757.7499999999982</v>
      </c>
      <c r="AB32" s="6">
        <f t="shared" si="38"/>
        <v>6792.0430000000006</v>
      </c>
      <c r="AC32" s="6">
        <f t="shared" si="38"/>
        <v>8524.7570000000014</v>
      </c>
      <c r="AD32" s="6">
        <f t="shared" si="38"/>
        <v>5412.4209999999994</v>
      </c>
    </row>
    <row r="33" spans="2:30" s="8" customFormat="1">
      <c r="B33" s="8" t="s">
        <v>43</v>
      </c>
      <c r="F33" s="8">
        <f t="shared" ref="F33:I33" si="39">F32/F$5</f>
        <v>0.54839610734099953</v>
      </c>
      <c r="G33" s="8">
        <f t="shared" si="39"/>
        <v>0.59280111930730817</v>
      </c>
      <c r="H33" s="8">
        <f t="shared" si="39"/>
        <v>0.59451339030964068</v>
      </c>
      <c r="I33" s="8">
        <f t="shared" si="39"/>
        <v>0.59131403551160644</v>
      </c>
      <c r="J33" s="8">
        <f>J32/J$5</f>
        <v>0.57677812810101847</v>
      </c>
      <c r="K33" s="9">
        <v>0.55000000000000004</v>
      </c>
      <c r="L33" s="9">
        <v>0.56999999999999995</v>
      </c>
      <c r="M33" s="9">
        <v>0.57999999999999996</v>
      </c>
      <c r="N33" s="9">
        <v>0.58499999999999996</v>
      </c>
      <c r="O33" s="9">
        <v>0.59</v>
      </c>
      <c r="P33" s="9">
        <v>0.59499999999999997</v>
      </c>
      <c r="Q33" s="9">
        <v>0.6</v>
      </c>
      <c r="R33" s="9">
        <v>0.6</v>
      </c>
      <c r="S33" s="9">
        <v>0.6</v>
      </c>
      <c r="T33" s="9">
        <v>0.6</v>
      </c>
      <c r="U33" s="9">
        <v>0.6</v>
      </c>
      <c r="X33" s="8">
        <f>X32/X$5</f>
        <v>0.59016918397877238</v>
      </c>
      <c r="Y33" s="8">
        <f t="shared" ref="Y33:AD33" si="40">Y32/Y$5</f>
        <v>0.59802656133498733</v>
      </c>
      <c r="Z33" s="8">
        <f t="shared" si="40"/>
        <v>0.58239470686581019</v>
      </c>
      <c r="AA33" s="8">
        <f t="shared" si="40"/>
        <v>0.5981173133705695</v>
      </c>
      <c r="AB33" s="8">
        <f t="shared" si="40"/>
        <v>0.58078325890883564</v>
      </c>
      <c r="AC33" s="8">
        <f t="shared" si="40"/>
        <v>0.57362638974626901</v>
      </c>
      <c r="AD33" s="8">
        <f t="shared" si="40"/>
        <v>0.55451695873360307</v>
      </c>
    </row>
    <row r="35" spans="2:30">
      <c r="B35" s="1" t="s">
        <v>44</v>
      </c>
      <c r="F35" s="2">
        <v>35.662999999999997</v>
      </c>
      <c r="G35" s="2">
        <v>62.094000000000001</v>
      </c>
      <c r="H35" s="2">
        <v>90.753</v>
      </c>
      <c r="I35" s="2">
        <v>104.318</v>
      </c>
      <c r="J35" s="2">
        <v>262.70100000000002</v>
      </c>
      <c r="K35" s="1">
        <f>K36*K5</f>
        <v>337.35956518339952</v>
      </c>
      <c r="L35" s="1">
        <f t="shared" ref="L35:U35" si="41">L36*L5</f>
        <v>559.69691333952414</v>
      </c>
      <c r="M35" s="1">
        <f t="shared" si="41"/>
        <v>726.50281501440452</v>
      </c>
      <c r="N35" s="1">
        <f t="shared" si="41"/>
        <v>871.42942350736359</v>
      </c>
      <c r="O35" s="1">
        <f t="shared" si="41"/>
        <v>996.9177794512068</v>
      </c>
      <c r="P35" s="1">
        <f t="shared" si="41"/>
        <v>1122.9074416566948</v>
      </c>
      <c r="Q35" s="1">
        <f t="shared" si="41"/>
        <v>1259.7899703263088</v>
      </c>
      <c r="R35" s="1">
        <f t="shared" si="41"/>
        <v>1385.359051456762</v>
      </c>
      <c r="S35" s="1">
        <f t="shared" si="41"/>
        <v>1500.5657919303715</v>
      </c>
      <c r="T35" s="1">
        <f t="shared" si="41"/>
        <v>1618.7578182129407</v>
      </c>
      <c r="U35" s="1">
        <f t="shared" si="41"/>
        <v>1748.5894442933304</v>
      </c>
      <c r="X35" s="2">
        <v>40.036999999999999</v>
      </c>
      <c r="Y35" s="1">
        <f>H35-X35</f>
        <v>50.716000000000001</v>
      </c>
      <c r="Z35" s="2">
        <v>26.986000000000001</v>
      </c>
      <c r="AA35" s="1">
        <f>I35-Z35</f>
        <v>77.331999999999994</v>
      </c>
      <c r="AB35" s="2">
        <v>118.828</v>
      </c>
      <c r="AC35" s="1">
        <f>J35-AB35</f>
        <v>143.87300000000002</v>
      </c>
      <c r="AD35" s="2">
        <v>180.465</v>
      </c>
    </row>
    <row r="36" spans="2:30" s="8" customFormat="1">
      <c r="C36" s="8" t="s">
        <v>45</v>
      </c>
      <c r="F36" s="8">
        <f t="shared" ref="F36:I36" si="42">F35/F5</f>
        <v>6.1950616692045867E-3</v>
      </c>
      <c r="G36" s="8">
        <f t="shared" si="42"/>
        <v>7.9529325334036227E-3</v>
      </c>
      <c r="H36" s="8">
        <f t="shared" si="42"/>
        <v>8.5316865294058474E-3</v>
      </c>
      <c r="I36" s="8">
        <f t="shared" si="42"/>
        <v>6.1475269755025316E-3</v>
      </c>
      <c r="J36" s="8">
        <f>J35/J5</f>
        <v>9.8924181963768957E-3</v>
      </c>
      <c r="K36" s="9">
        <v>0.01</v>
      </c>
      <c r="L36" s="9">
        <v>0.01</v>
      </c>
      <c r="M36" s="9">
        <v>0.01</v>
      </c>
      <c r="N36" s="9">
        <v>0.01</v>
      </c>
      <c r="O36" s="9">
        <v>0.01</v>
      </c>
      <c r="P36" s="9">
        <v>0.01</v>
      </c>
      <c r="Q36" s="9">
        <v>0.01</v>
      </c>
      <c r="R36" s="9">
        <v>0.01</v>
      </c>
      <c r="S36" s="9">
        <v>0.01</v>
      </c>
      <c r="T36" s="9">
        <v>0.01</v>
      </c>
      <c r="U36" s="9">
        <v>0.01</v>
      </c>
    </row>
    <row r="38" spans="2:30" s="6" customFormat="1">
      <c r="B38" s="6" t="s">
        <v>46</v>
      </c>
      <c r="F38" s="6">
        <f>F40+F45+F47+F48+F49+F51</f>
        <v>-2637.348</v>
      </c>
      <c r="G38" s="6">
        <f>G40+G45+G47+G48+G49+G51</f>
        <v>-3348.4670000000006</v>
      </c>
      <c r="H38" s="6">
        <f>H40+H45+H47+H48+H49+H51</f>
        <v>-4807.5729999999994</v>
      </c>
      <c r="I38" s="6">
        <f>I40+I45+I47+I48+I49+I51</f>
        <v>-7890.8670000000002</v>
      </c>
      <c r="J38" s="6">
        <f>J40+J45+J47+J48+J49+J51</f>
        <v>-12255.808999999999</v>
      </c>
      <c r="K38" s="6">
        <f t="shared" ref="K38:U38" si="43">K40+K45+K47+K48+K49+K51</f>
        <v>-18119.899472142035</v>
      </c>
      <c r="L38" s="6">
        <f t="shared" si="43"/>
        <v>-27554.224672097153</v>
      </c>
      <c r="M38" s="6">
        <f t="shared" si="43"/>
        <v>-36188.601725573935</v>
      </c>
      <c r="N38" s="6">
        <f t="shared" si="43"/>
        <v>-43888.226186899396</v>
      </c>
      <c r="O38" s="6">
        <f t="shared" si="43"/>
        <v>-51582.319335161978</v>
      </c>
      <c r="P38" s="6">
        <f t="shared" si="43"/>
        <v>-59668.940556475529</v>
      </c>
      <c r="Q38" s="6">
        <f t="shared" si="43"/>
        <v>-68253.553876789083</v>
      </c>
      <c r="R38" s="6">
        <f t="shared" si="43"/>
        <v>-75736.803100334932</v>
      </c>
      <c r="S38" s="6">
        <f t="shared" si="43"/>
        <v>-83216.219618538511</v>
      </c>
      <c r="T38" s="6">
        <f t="shared" si="43"/>
        <v>-91013.365689561426</v>
      </c>
      <c r="U38" s="6">
        <f t="shared" si="43"/>
        <v>-99233.506674836695</v>
      </c>
      <c r="X38" s="6">
        <f t="shared" ref="X38:AD38" si="44">X40+X45+X47+X48+X49+X51</f>
        <v>-2090.848</v>
      </c>
      <c r="Y38" s="6">
        <f t="shared" si="44"/>
        <v>-2716.7250000000004</v>
      </c>
      <c r="Z38" s="6">
        <f t="shared" si="44"/>
        <v>-3417.6420000000007</v>
      </c>
      <c r="AA38" s="6">
        <f t="shared" si="44"/>
        <v>-4473.2250000000004</v>
      </c>
      <c r="AB38" s="6">
        <f t="shared" si="44"/>
        <v>-5573.232</v>
      </c>
      <c r="AC38" s="6">
        <f t="shared" si="44"/>
        <v>-6682.5770000000002</v>
      </c>
      <c r="AD38" s="6">
        <f t="shared" si="44"/>
        <v>-6409.0540000000001</v>
      </c>
    </row>
    <row r="39" spans="2:30" s="8" customFormat="1">
      <c r="C39" s="8" t="s">
        <v>30</v>
      </c>
      <c r="G39" s="8">
        <f t="shared" ref="G39:I39" si="45">G38/F38-1</f>
        <v>0.26963411730268461</v>
      </c>
      <c r="H39" s="8">
        <f t="shared" si="45"/>
        <v>0.43575343582600601</v>
      </c>
      <c r="I39" s="8">
        <f t="shared" si="45"/>
        <v>0.64134106751993181</v>
      </c>
      <c r="J39" s="8">
        <f>J38/I38-1</f>
        <v>0.55316380316636926</v>
      </c>
      <c r="K39" s="8">
        <f>K38/J38-1</f>
        <v>0.47847436853348779</v>
      </c>
      <c r="L39" s="8">
        <f t="shared" ref="L39:U39" si="46">L38/K38-1</f>
        <v>0.52066101219047445</v>
      </c>
      <c r="M39" s="8">
        <f t="shared" si="46"/>
        <v>0.3133594632484944</v>
      </c>
      <c r="N39" s="8">
        <f t="shared" si="46"/>
        <v>0.21276380114692994</v>
      </c>
      <c r="O39" s="8">
        <f t="shared" si="46"/>
        <v>0.17531109859617122</v>
      </c>
      <c r="P39" s="8">
        <f t="shared" si="46"/>
        <v>0.15677118294681192</v>
      </c>
      <c r="Q39" s="8">
        <f t="shared" si="46"/>
        <v>0.14387071800258266</v>
      </c>
      <c r="R39" s="8">
        <f t="shared" si="46"/>
        <v>0.10963896820749541</v>
      </c>
      <c r="S39" s="8">
        <f t="shared" si="46"/>
        <v>9.8755376673279605E-2</v>
      </c>
      <c r="T39" s="8">
        <f t="shared" si="46"/>
        <v>9.3697431904079309E-2</v>
      </c>
      <c r="U39" s="8">
        <f t="shared" si="46"/>
        <v>9.0317954104822906E-2</v>
      </c>
      <c r="Z39" s="8">
        <f>Z38/X38-1</f>
        <v>0.63457219271797882</v>
      </c>
      <c r="AA39" s="8">
        <f t="shared" ref="AA39:AD39" si="47">AA38/Y38-1</f>
        <v>0.64655053419098363</v>
      </c>
      <c r="AB39" s="8">
        <f t="shared" si="47"/>
        <v>0.63072434151967904</v>
      </c>
      <c r="AC39" s="8">
        <f t="shared" si="47"/>
        <v>0.49390585092410944</v>
      </c>
      <c r="AD39" s="8">
        <f t="shared" si="47"/>
        <v>0.1499707889425741</v>
      </c>
    </row>
    <row r="40" spans="2:30">
      <c r="C40" s="1" t="s">
        <v>47</v>
      </c>
      <c r="F40" s="2">
        <v>-1571.877</v>
      </c>
      <c r="G40" s="2">
        <v>-2044.2919999999999</v>
      </c>
      <c r="H40" s="2">
        <v>-3119.6990000000001</v>
      </c>
      <c r="I40" s="2">
        <v>-5016.3209999999999</v>
      </c>
      <c r="J40" s="2">
        <v>-7992.5550000000003</v>
      </c>
      <c r="K40" s="1">
        <f>-K43*K41</f>
        <v>-12196.648796809202</v>
      </c>
      <c r="L40" s="1">
        <f t="shared" ref="L40:P40" si="48">-L43*L41</f>
        <v>-18421.774705316733</v>
      </c>
      <c r="M40" s="1">
        <f t="shared" si="48"/>
        <v>-23974.277207734795</v>
      </c>
      <c r="N40" s="1">
        <f t="shared" si="48"/>
        <v>-28555.889078289078</v>
      </c>
      <c r="O40" s="1">
        <f t="shared" si="48"/>
        <v>-33390.820811589656</v>
      </c>
      <c r="P40" s="1">
        <f t="shared" si="48"/>
        <v>-38490.14814871781</v>
      </c>
      <c r="Q40" s="1">
        <f>-Q43*Q41</f>
        <v>-43865.383387343216</v>
      </c>
      <c r="R40" s="1">
        <f t="shared" ref="R40:U40" si="49">-R43*R41</f>
        <v>-48079.442700956046</v>
      </c>
      <c r="S40" s="1">
        <f t="shared" si="49"/>
        <v>-52506.866728337031</v>
      </c>
      <c r="T40" s="1">
        <f t="shared" si="49"/>
        <v>-57156.664698930013</v>
      </c>
      <c r="U40" s="1">
        <f t="shared" si="49"/>
        <v>-62038.194367703072</v>
      </c>
      <c r="X40" s="2">
        <v>-1390.723</v>
      </c>
      <c r="Y40" s="1">
        <f t="shared" ref="Y40:Y51" si="50">H40-X40</f>
        <v>-1728.9760000000001</v>
      </c>
      <c r="Z40" s="2">
        <v>-2202.7170000000001</v>
      </c>
      <c r="AA40" s="1">
        <f t="shared" ref="AA40:AA51" si="51">I40-Z40</f>
        <v>-2813.6039999999998</v>
      </c>
      <c r="AB40" s="2">
        <v>-3651.9189999999999</v>
      </c>
      <c r="AC40" s="1">
        <f t="shared" ref="AC40:AC51" si="52">J40-AB40</f>
        <v>-4340.6360000000004</v>
      </c>
      <c r="AD40" s="2">
        <v>-4074.0120000000002</v>
      </c>
    </row>
    <row r="41" spans="2:30" s="14" customFormat="1" hidden="1" outlineLevel="1">
      <c r="D41" s="14" t="s">
        <v>48</v>
      </c>
      <c r="I41" s="14">
        <v>69.055999999999997</v>
      </c>
      <c r="J41" s="14">
        <v>102.79300000000001</v>
      </c>
      <c r="K41" s="14">
        <f>K254*K42/98%/1000</f>
        <v>142.60204081632654</v>
      </c>
      <c r="L41" s="14">
        <f t="shared" ref="L41:U41" si="53">L254*L42/98%/1000</f>
        <v>209.11224489795921</v>
      </c>
      <c r="M41" s="14">
        <f t="shared" si="53"/>
        <v>264.21428571428572</v>
      </c>
      <c r="N41" s="14">
        <f t="shared" si="53"/>
        <v>305.5408163265306</v>
      </c>
      <c r="O41" s="14">
        <f t="shared" si="53"/>
        <v>346.86734693877548</v>
      </c>
      <c r="P41" s="14">
        <f t="shared" si="53"/>
        <v>388.19387755102042</v>
      </c>
      <c r="Q41" s="14">
        <f t="shared" si="53"/>
        <v>429.5204081632653</v>
      </c>
      <c r="R41" s="14">
        <f t="shared" si="53"/>
        <v>457.07142857142856</v>
      </c>
      <c r="S41" s="14">
        <f t="shared" si="53"/>
        <v>484.62244897959181</v>
      </c>
      <c r="T41" s="14">
        <f t="shared" si="53"/>
        <v>512.17346938775506</v>
      </c>
      <c r="U41" s="14">
        <f t="shared" si="53"/>
        <v>539.72448979591832</v>
      </c>
      <c r="AA41" s="14">
        <v>69.055999999999997</v>
      </c>
      <c r="AB41" s="14">
        <v>88.378</v>
      </c>
      <c r="AC41" s="14">
        <v>102.79300000000001</v>
      </c>
      <c r="AD41" s="14">
        <v>92.179000000000002</v>
      </c>
    </row>
    <row r="42" spans="2:30" s="14" customFormat="1" hidden="1" outlineLevel="1">
      <c r="D42" s="14" t="s">
        <v>49</v>
      </c>
      <c r="I42" s="14">
        <f>I41*1000*98%/I254</f>
        <v>145.2250643776824</v>
      </c>
      <c r="J42" s="14">
        <f>J41*1000*98%/J254</f>
        <v>131.16815104166668</v>
      </c>
      <c r="K42" s="3">
        <v>125</v>
      </c>
      <c r="L42" s="3">
        <v>135</v>
      </c>
      <c r="M42" s="3">
        <v>135</v>
      </c>
      <c r="N42" s="3">
        <v>135</v>
      </c>
      <c r="O42" s="3">
        <v>135</v>
      </c>
      <c r="P42" s="3">
        <v>135</v>
      </c>
      <c r="Q42" s="3">
        <v>135</v>
      </c>
      <c r="R42" s="3">
        <v>135</v>
      </c>
      <c r="S42" s="3">
        <v>135</v>
      </c>
      <c r="T42" s="3">
        <v>135</v>
      </c>
      <c r="U42" s="3">
        <v>135</v>
      </c>
      <c r="AA42" s="14">
        <f>AA41*1000*98%/AA254</f>
        <v>145.2250643776824</v>
      </c>
      <c r="AB42" s="14">
        <f t="shared" ref="AB42:AD42" si="54">AB41*1000*98%/AB254</f>
        <v>146.05470489038785</v>
      </c>
      <c r="AC42" s="14">
        <f t="shared" si="54"/>
        <v>131.16815104166668</v>
      </c>
      <c r="AD42" s="14">
        <f t="shared" si="54"/>
        <v>96.61542245989304</v>
      </c>
    </row>
    <row r="43" spans="2:30" s="14" customFormat="1" hidden="1" outlineLevel="1">
      <c r="D43" s="14" t="s">
        <v>50</v>
      </c>
      <c r="I43" s="14">
        <f>-I40/I41</f>
        <v>72.641349050046344</v>
      </c>
      <c r="J43" s="14">
        <f>-J40/J41</f>
        <v>77.753884019339836</v>
      </c>
      <c r="K43" s="14">
        <f>J43*(1+K44)</f>
        <v>85.529272421273831</v>
      </c>
      <c r="L43" s="14">
        <f t="shared" ref="L43:U43" si="55">K43*(1+L44)</f>
        <v>88.095150593912052</v>
      </c>
      <c r="M43" s="14">
        <f t="shared" si="55"/>
        <v>90.738005111729422</v>
      </c>
      <c r="N43" s="14">
        <f t="shared" si="55"/>
        <v>93.460145265081309</v>
      </c>
      <c r="O43" s="14">
        <f t="shared" si="55"/>
        <v>96.263949623033753</v>
      </c>
      <c r="P43" s="14">
        <f t="shared" si="55"/>
        <v>99.151868111724767</v>
      </c>
      <c r="Q43" s="14">
        <f t="shared" si="55"/>
        <v>102.12642415507651</v>
      </c>
      <c r="R43" s="14">
        <f t="shared" si="55"/>
        <v>105.19021687972881</v>
      </c>
      <c r="S43" s="14">
        <f t="shared" si="55"/>
        <v>108.34592338612067</v>
      </c>
      <c r="T43" s="14">
        <f t="shared" si="55"/>
        <v>111.59630108770429</v>
      </c>
      <c r="U43" s="14">
        <f t="shared" si="55"/>
        <v>114.94419012033542</v>
      </c>
      <c r="AA43" s="14">
        <f>(-AA40-Z40)/AA41</f>
        <v>72.641349050046344</v>
      </c>
      <c r="AB43" s="14">
        <f t="shared" ref="AB43:AD43" si="56">(-AB40-AA40)/AB41</f>
        <v>73.15760709678878</v>
      </c>
      <c r="AC43" s="14">
        <f t="shared" si="56"/>
        <v>77.753884019339836</v>
      </c>
      <c r="AD43" s="14">
        <f t="shared" si="56"/>
        <v>91.285954501567616</v>
      </c>
    </row>
    <row r="44" spans="2:30" s="8" customFormat="1" hidden="1" outlineLevel="1">
      <c r="E44" s="8" t="s">
        <v>30</v>
      </c>
      <c r="J44" s="8">
        <f>J43/I43-1</f>
        <v>7.038050691722697E-2</v>
      </c>
      <c r="K44" s="9">
        <v>0.1</v>
      </c>
      <c r="L44" s="9">
        <v>0.03</v>
      </c>
      <c r="M44" s="9">
        <v>0.03</v>
      </c>
      <c r="N44" s="9">
        <v>0.03</v>
      </c>
      <c r="O44" s="9">
        <v>0.03</v>
      </c>
      <c r="P44" s="9">
        <v>0.03</v>
      </c>
      <c r="Q44" s="9">
        <v>0.03</v>
      </c>
      <c r="R44" s="9">
        <v>0.03</v>
      </c>
      <c r="S44" s="9">
        <v>0.03</v>
      </c>
      <c r="T44" s="9">
        <v>0.03</v>
      </c>
      <c r="U44" s="9">
        <v>0.03</v>
      </c>
    </row>
    <row r="45" spans="2:30" collapsed="1">
      <c r="C45" s="1" t="s">
        <v>51</v>
      </c>
      <c r="F45" s="2">
        <v>-269.48200000000003</v>
      </c>
      <c r="G45" s="2">
        <v>-298.36700000000002</v>
      </c>
      <c r="H45" s="2">
        <v>-414.86200000000002</v>
      </c>
      <c r="I45" s="2">
        <v>-684.91</v>
      </c>
      <c r="J45" s="2">
        <v>-240.23</v>
      </c>
      <c r="K45" s="1">
        <f>K46*K287</f>
        <v>-223.60000000000002</v>
      </c>
      <c r="L45" s="1">
        <f>L46*L287</f>
        <v>-379.5</v>
      </c>
      <c r="M45" s="1">
        <f>M46*M287</f>
        <v>-479.5</v>
      </c>
      <c r="N45" s="1">
        <f t="shared" ref="N45:U45" si="57">N46*N287</f>
        <v>-554.5</v>
      </c>
      <c r="O45" s="1">
        <f t="shared" si="57"/>
        <v>-629.5</v>
      </c>
      <c r="P45" s="1">
        <f t="shared" si="57"/>
        <v>-704.5</v>
      </c>
      <c r="Q45" s="1">
        <f t="shared" si="57"/>
        <v>-779.5</v>
      </c>
      <c r="R45" s="1">
        <f t="shared" si="57"/>
        <v>-829.5</v>
      </c>
      <c r="S45" s="1">
        <f t="shared" si="57"/>
        <v>-879.5</v>
      </c>
      <c r="T45" s="1">
        <f t="shared" si="57"/>
        <v>-929.5</v>
      </c>
      <c r="U45" s="1">
        <f t="shared" si="57"/>
        <v>-979.5</v>
      </c>
      <c r="X45" s="2">
        <v>-179.34700000000001</v>
      </c>
      <c r="Y45" s="1">
        <f t="shared" si="50"/>
        <v>-235.51500000000001</v>
      </c>
      <c r="Z45" s="2">
        <v>-272.30099999999999</v>
      </c>
      <c r="AA45" s="1">
        <f t="shared" si="51"/>
        <v>-412.60899999999998</v>
      </c>
      <c r="AB45" s="2">
        <v>-96.11</v>
      </c>
      <c r="AC45" s="1">
        <f t="shared" si="52"/>
        <v>-144.12</v>
      </c>
      <c r="AD45" s="2">
        <v>-88.149000000000001</v>
      </c>
    </row>
    <row r="46" spans="2:30" s="10" customFormat="1" hidden="1" outlineLevel="1">
      <c r="D46" s="10" t="s">
        <v>52</v>
      </c>
      <c r="F46" s="15"/>
      <c r="G46" s="15"/>
      <c r="H46" s="15"/>
      <c r="I46" s="15"/>
      <c r="J46" s="15">
        <f>J45/J287</f>
        <v>-0.31279947916666667</v>
      </c>
      <c r="K46" s="16">
        <v>-0.2</v>
      </c>
      <c r="L46" s="16">
        <v>-0.25</v>
      </c>
      <c r="M46" s="16">
        <v>-0.25</v>
      </c>
      <c r="N46" s="16">
        <v>-0.25</v>
      </c>
      <c r="O46" s="16">
        <v>-0.25</v>
      </c>
      <c r="P46" s="16">
        <v>-0.25</v>
      </c>
      <c r="Q46" s="16">
        <v>-0.25</v>
      </c>
      <c r="R46" s="16">
        <v>-0.25</v>
      </c>
      <c r="S46" s="16">
        <v>-0.25</v>
      </c>
      <c r="T46" s="16">
        <v>-0.25</v>
      </c>
      <c r="U46" s="16">
        <v>-0.25</v>
      </c>
      <c r="AB46" s="15">
        <f t="shared" ref="AB46:AD46" si="58">AB45/AB287</f>
        <v>-0.16207419898819561</v>
      </c>
      <c r="AC46" s="15">
        <f t="shared" si="58"/>
        <v>-0.18765625</v>
      </c>
      <c r="AD46" s="15">
        <f t="shared" si="58"/>
        <v>-9.427700534759359E-2</v>
      </c>
    </row>
    <row r="47" spans="2:30" collapsed="1">
      <c r="C47" s="1" t="s">
        <v>53</v>
      </c>
      <c r="F47" s="2">
        <v>-221.483</v>
      </c>
      <c r="G47" s="2">
        <v>-262.98500000000001</v>
      </c>
      <c r="H47" s="2">
        <v>-348.577</v>
      </c>
      <c r="I47" s="2">
        <v>-594.77200000000005</v>
      </c>
      <c r="J47" s="2">
        <v>-911.63499999999999</v>
      </c>
      <c r="K47" s="1">
        <f>K56*K$5</f>
        <v>-1158.1231966494104</v>
      </c>
      <c r="L47" s="1">
        <f t="shared" ref="L47:U47" si="59">L56*L$5</f>
        <v>-1921.3860975875887</v>
      </c>
      <c r="M47" s="1">
        <f t="shared" si="59"/>
        <v>-2494.0148415293224</v>
      </c>
      <c r="N47" s="1">
        <f t="shared" si="59"/>
        <v>-2991.5340596851161</v>
      </c>
      <c r="O47" s="1">
        <f t="shared" si="59"/>
        <v>-3422.3236116249168</v>
      </c>
      <c r="P47" s="1">
        <f t="shared" si="59"/>
        <v>-3854.8341001266349</v>
      </c>
      <c r="Q47" s="1">
        <f t="shared" si="59"/>
        <v>-4324.7387598096275</v>
      </c>
      <c r="R47" s="1">
        <f t="shared" si="59"/>
        <v>-4755.8054336123168</v>
      </c>
      <c r="S47" s="1">
        <f t="shared" si="59"/>
        <v>-5151.2991807077115</v>
      </c>
      <c r="T47" s="1">
        <f t="shared" si="59"/>
        <v>-5557.0411291312794</v>
      </c>
      <c r="U47" s="1">
        <f t="shared" si="59"/>
        <v>-6002.7407130178981</v>
      </c>
      <c r="X47" s="2">
        <v>-148.863</v>
      </c>
      <c r="Y47" s="1">
        <f t="shared" si="50"/>
        <v>-199.714</v>
      </c>
      <c r="Z47" s="2">
        <v>-254.63499999999999</v>
      </c>
      <c r="AA47" s="1">
        <f t="shared" si="51"/>
        <v>-340.13700000000006</v>
      </c>
      <c r="AB47" s="2">
        <v>-439.14600000000002</v>
      </c>
      <c r="AC47" s="1">
        <f t="shared" si="52"/>
        <v>-472.48899999999998</v>
      </c>
      <c r="AD47" s="2">
        <v>-359.97899999999998</v>
      </c>
    </row>
    <row r="48" spans="2:30">
      <c r="C48" s="1" t="s">
        <v>54</v>
      </c>
      <c r="F48" s="2">
        <v>-239.179</v>
      </c>
      <c r="G48" s="2">
        <v>-285.91800000000001</v>
      </c>
      <c r="H48" s="2">
        <v>-359.839</v>
      </c>
      <c r="I48" s="2">
        <v>-689.32100000000003</v>
      </c>
      <c r="J48" s="2">
        <v>-1891.3240000000001</v>
      </c>
      <c r="K48" s="1">
        <f>-K204-K205-K206</f>
        <v>-3206.815200541525</v>
      </c>
      <c r="L48" s="1">
        <f t="shared" ref="L48:U48" si="60">-L204-L205-L206</f>
        <v>-4626.2985925045014</v>
      </c>
      <c r="M48" s="1">
        <f t="shared" si="60"/>
        <v>-6390.1422237594034</v>
      </c>
      <c r="N48" s="1">
        <f t="shared" si="60"/>
        <v>-8366.8109466494316</v>
      </c>
      <c r="O48" s="1">
        <f t="shared" si="60"/>
        <v>-10225.550195868176</v>
      </c>
      <c r="P48" s="1">
        <f t="shared" si="60"/>
        <v>-12213.38027527265</v>
      </c>
      <c r="Q48" s="1">
        <f t="shared" si="60"/>
        <v>-14351.17464827816</v>
      </c>
      <c r="R48" s="1">
        <f t="shared" si="60"/>
        <v>-16657.926725634625</v>
      </c>
      <c r="S48" s="1">
        <f t="shared" si="60"/>
        <v>-18821.625868501858</v>
      </c>
      <c r="T48" s="1">
        <f t="shared" si="60"/>
        <v>-21063.26307436511</v>
      </c>
      <c r="U48" s="1">
        <f t="shared" si="60"/>
        <v>-23419.701894529848</v>
      </c>
      <c r="X48" s="2">
        <v>-162.99700000000001</v>
      </c>
      <c r="Y48" s="1">
        <f t="shared" si="50"/>
        <v>-196.84199999999998</v>
      </c>
      <c r="Z48" s="2">
        <v>-293.57</v>
      </c>
      <c r="AA48" s="1">
        <f t="shared" si="51"/>
        <v>-395.75100000000003</v>
      </c>
      <c r="AB48" s="2">
        <v>-830.14400000000001</v>
      </c>
      <c r="AC48" s="1">
        <f t="shared" si="52"/>
        <v>-1061.18</v>
      </c>
      <c r="AD48" s="2">
        <v>-1296.99</v>
      </c>
    </row>
    <row r="49" spans="2:30">
      <c r="C49" s="1" t="s">
        <v>55</v>
      </c>
      <c r="F49" s="2">
        <v>-67.213999999999999</v>
      </c>
      <c r="G49" s="2">
        <v>-84.483000000000004</v>
      </c>
      <c r="H49" s="2">
        <v>-119.598</v>
      </c>
      <c r="I49" s="2">
        <v>-159.47</v>
      </c>
      <c r="J49" s="2">
        <v>-219.934</v>
      </c>
      <c r="K49" s="1">
        <f>J49*(1+K50)</f>
        <v>-153.9538</v>
      </c>
      <c r="L49" s="1">
        <f t="shared" ref="L49:U49" si="61">K49*(1+L50)</f>
        <v>-246.32608000000002</v>
      </c>
      <c r="M49" s="1">
        <f t="shared" si="61"/>
        <v>-307.9076</v>
      </c>
      <c r="N49" s="1">
        <f t="shared" si="61"/>
        <v>-369.48912000000001</v>
      </c>
      <c r="O49" s="1">
        <f t="shared" si="61"/>
        <v>-424.912488</v>
      </c>
      <c r="P49" s="1">
        <f t="shared" si="61"/>
        <v>-475.90198656000007</v>
      </c>
      <c r="Q49" s="1">
        <f t="shared" si="61"/>
        <v>-523.49218521600017</v>
      </c>
      <c r="R49" s="1">
        <f t="shared" si="61"/>
        <v>-565.37156003328016</v>
      </c>
      <c r="S49" s="1">
        <f t="shared" si="61"/>
        <v>-604.94756923560976</v>
      </c>
      <c r="T49" s="1">
        <f t="shared" si="61"/>
        <v>-641.24442338974643</v>
      </c>
      <c r="U49" s="1">
        <f t="shared" si="61"/>
        <v>-673.30664455923375</v>
      </c>
      <c r="X49" s="2">
        <v>-47.984999999999999</v>
      </c>
      <c r="Y49" s="1">
        <f t="shared" si="50"/>
        <v>-71.613</v>
      </c>
      <c r="Z49" s="2">
        <v>-72.387</v>
      </c>
      <c r="AA49" s="1">
        <f t="shared" si="51"/>
        <v>-87.082999999999998</v>
      </c>
      <c r="AB49" s="2">
        <v>-94.343000000000004</v>
      </c>
      <c r="AC49" s="1">
        <f t="shared" si="52"/>
        <v>-125.59099999999999</v>
      </c>
      <c r="AD49" s="2">
        <v>-79.144000000000005</v>
      </c>
    </row>
    <row r="50" spans="2:30" s="8" customFormat="1">
      <c r="E50" s="8" t="s">
        <v>30</v>
      </c>
      <c r="H50" s="8">
        <f t="shared" ref="H50:I50" si="62">H49/G49-1</f>
        <v>0.41564575121622083</v>
      </c>
      <c r="I50" s="8">
        <f t="shared" si="62"/>
        <v>0.33338350139634443</v>
      </c>
      <c r="J50" s="8">
        <f>J49/I49-1</f>
        <v>0.37915595409794944</v>
      </c>
      <c r="K50" s="9">
        <v>-0.3</v>
      </c>
      <c r="L50" s="9">
        <f>-K50+30%</f>
        <v>0.6</v>
      </c>
      <c r="M50" s="9">
        <v>0.25</v>
      </c>
      <c r="N50" s="9">
        <v>0.2</v>
      </c>
      <c r="O50" s="9">
        <v>0.15</v>
      </c>
      <c r="P50" s="9">
        <v>0.12</v>
      </c>
      <c r="Q50" s="9">
        <v>0.1</v>
      </c>
      <c r="R50" s="9">
        <v>0.08</v>
      </c>
      <c r="S50" s="9">
        <v>7.0000000000000007E-2</v>
      </c>
      <c r="T50" s="9">
        <v>0.06</v>
      </c>
      <c r="U50" s="9">
        <v>0.05</v>
      </c>
    </row>
    <row r="51" spans="2:30">
      <c r="C51" s="1" t="s">
        <v>56</v>
      </c>
      <c r="F51" s="2">
        <v>-268.113</v>
      </c>
      <c r="G51" s="2">
        <v>-372.42200000000003</v>
      </c>
      <c r="H51" s="2">
        <v>-444.99799999999999</v>
      </c>
      <c r="I51" s="2">
        <f>-85.54-660.533</f>
        <v>-746.07299999999998</v>
      </c>
      <c r="J51" s="2">
        <v>-1000.131</v>
      </c>
      <c r="K51" s="1">
        <f>K59*K$5</f>
        <v>-1180.7584781418984</v>
      </c>
      <c r="L51" s="1">
        <f t="shared" ref="L51:U51" si="63">L59*L$5</f>
        <v>-1958.9391966883347</v>
      </c>
      <c r="M51" s="1">
        <f t="shared" si="63"/>
        <v>-2542.7598525504159</v>
      </c>
      <c r="N51" s="1">
        <f t="shared" si="63"/>
        <v>-3050.0029822757729</v>
      </c>
      <c r="O51" s="1">
        <f t="shared" si="63"/>
        <v>-3489.2122280792237</v>
      </c>
      <c r="P51" s="1">
        <f t="shared" si="63"/>
        <v>-3930.1760457984324</v>
      </c>
      <c r="Q51" s="1">
        <f t="shared" si="63"/>
        <v>-4409.2648961420809</v>
      </c>
      <c r="R51" s="1">
        <f t="shared" si="63"/>
        <v>-4848.7566800986669</v>
      </c>
      <c r="S51" s="1">
        <f t="shared" si="63"/>
        <v>-5251.9802717563007</v>
      </c>
      <c r="T51" s="1">
        <f t="shared" si="63"/>
        <v>-5665.6523637452929</v>
      </c>
      <c r="U51" s="1">
        <f t="shared" si="63"/>
        <v>-6120.0630550266569</v>
      </c>
      <c r="X51" s="2">
        <v>-160.93299999999999</v>
      </c>
      <c r="Y51" s="1">
        <f t="shared" si="50"/>
        <v>-284.065</v>
      </c>
      <c r="Z51" s="2">
        <f>-20.659-301.373</f>
        <v>-322.03199999999998</v>
      </c>
      <c r="AA51" s="1">
        <f t="shared" si="51"/>
        <v>-424.041</v>
      </c>
      <c r="AB51" s="2">
        <v>-461.57</v>
      </c>
      <c r="AC51" s="1">
        <f t="shared" si="52"/>
        <v>-538.56099999999992</v>
      </c>
      <c r="AD51" s="2">
        <v>-510.78</v>
      </c>
    </row>
    <row r="53" spans="2:30" s="10" customFormat="1" ht="19">
      <c r="C53" s="11" t="s">
        <v>45</v>
      </c>
    </row>
    <row r="54" spans="2:30" s="10" customFormat="1">
      <c r="C54" s="10" t="s">
        <v>57</v>
      </c>
      <c r="F54" s="12">
        <f>F40/F$5</f>
        <v>-0.27305260217604516</v>
      </c>
      <c r="G54" s="12">
        <f>G40/G$5</f>
        <v>-0.26183071399131574</v>
      </c>
      <c r="H54" s="12">
        <f>H40/H$5</f>
        <v>-0.29328279984243932</v>
      </c>
      <c r="I54" s="12">
        <f>I40/I$5</f>
        <v>-0.29561502967157954</v>
      </c>
      <c r="J54" s="12">
        <f>J40/J$5</f>
        <v>-0.3009721946910866</v>
      </c>
      <c r="K54" s="12">
        <f t="shared" ref="K54:U54" si="64">K40/K$5</f>
        <v>-0.36153262143845577</v>
      </c>
      <c r="L54" s="12">
        <f t="shared" si="64"/>
        <v>-0.32913840091416924</v>
      </c>
      <c r="M54" s="12">
        <f t="shared" si="64"/>
        <v>-0.3299956546934984</v>
      </c>
      <c r="N54" s="12">
        <f t="shared" si="64"/>
        <v>-0.32769020999263726</v>
      </c>
      <c r="O54" s="12">
        <f t="shared" si="64"/>
        <v>-0.33494056881973727</v>
      </c>
      <c r="P54" s="12">
        <f t="shared" si="64"/>
        <v>-0.3427722243244814</v>
      </c>
      <c r="Q54" s="12">
        <f t="shared" si="64"/>
        <v>-0.34819600425919628</v>
      </c>
      <c r="R54" s="12">
        <f t="shared" si="64"/>
        <v>-0.34705401932010721</v>
      </c>
      <c r="S54" s="12">
        <f t="shared" si="64"/>
        <v>-0.34991379258879857</v>
      </c>
      <c r="T54" s="12">
        <f t="shared" si="64"/>
        <v>-0.35308965958866673</v>
      </c>
      <c r="U54" s="12">
        <f t="shared" si="64"/>
        <v>-0.35478993980073464</v>
      </c>
      <c r="X54" s="12">
        <f t="shared" ref="X54:AC54" si="65">X40/X$5</f>
        <v>-0.29241042752779872</v>
      </c>
      <c r="Y54" s="12">
        <f t="shared" si="65"/>
        <v>-0.29398828961564194</v>
      </c>
      <c r="Z54" s="12">
        <f t="shared" si="65"/>
        <v>-0.29998962226685649</v>
      </c>
      <c r="AA54" s="12">
        <f t="shared" si="65"/>
        <v>-0.29227827977398957</v>
      </c>
      <c r="AB54" s="12">
        <f t="shared" si="65"/>
        <v>-0.31227326123982074</v>
      </c>
      <c r="AC54" s="12">
        <f t="shared" si="65"/>
        <v>-0.29207910065737774</v>
      </c>
      <c r="AD54" s="12">
        <f>AD40/AD$5</f>
        <v>-0.41739338903684764</v>
      </c>
    </row>
    <row r="55" spans="2:30" s="10" customFormat="1">
      <c r="C55" s="10" t="s">
        <v>58</v>
      </c>
      <c r="F55" s="12">
        <f>(F45+F224)/F$5</f>
        <v>-4.6812035127179172E-2</v>
      </c>
      <c r="G55" s="12">
        <f>(G45+G224)/G$5</f>
        <v>-3.8214523483654443E-2</v>
      </c>
      <c r="H55" s="12">
        <f>(H45+H224)/H$5</f>
        <v>-3.900116290329101E-2</v>
      </c>
      <c r="I55" s="12">
        <f>(I45+I224)/I$5</f>
        <v>-4.0362187741247328E-2</v>
      </c>
      <c r="J55" s="12">
        <f>(J45+J224)/J$5</f>
        <v>-3.5370212268570261E-2</v>
      </c>
      <c r="K55" s="12">
        <f t="shared" ref="K55:U55" si="66">(K45+K224)/K$5</f>
        <v>-3.0123344295303219E-2</v>
      </c>
      <c r="L55" s="12">
        <f t="shared" si="66"/>
        <v>-2.3793232182848817E-2</v>
      </c>
      <c r="M55" s="12">
        <f t="shared" si="66"/>
        <v>-2.2110488554139236E-2</v>
      </c>
      <c r="N55" s="12">
        <f t="shared" si="66"/>
        <v>-2.0963958358299076E-2</v>
      </c>
      <c r="O55" s="12">
        <f t="shared" si="66"/>
        <v>-1.9457982248227659E-2</v>
      </c>
      <c r="P55" s="12">
        <f t="shared" si="66"/>
        <v>-1.8224274729828165E-2</v>
      </c>
      <c r="Q55" s="12">
        <f t="shared" si="66"/>
        <v>-1.7048591643576628E-2</v>
      </c>
      <c r="R55" s="12">
        <f t="shared" si="66"/>
        <v>-1.6022708296426366E-2</v>
      </c>
      <c r="S55" s="12">
        <f t="shared" si="66"/>
        <v>-1.4692349217863792E-2</v>
      </c>
      <c r="T55" s="12">
        <f t="shared" si="66"/>
        <v>-1.3593672641209024E-2</v>
      </c>
      <c r="U55" s="12">
        <f t="shared" si="66"/>
        <v>-1.2612005614273612E-2</v>
      </c>
      <c r="X55" s="12">
        <f t="shared" ref="X55:AC55" si="67">(X45+X224)/X$5</f>
        <v>-3.7709114572656181E-2</v>
      </c>
      <c r="Y55" s="12">
        <f t="shared" si="67"/>
        <v>-4.004604576860981E-2</v>
      </c>
      <c r="Z55" s="12">
        <f t="shared" si="67"/>
        <v>-3.708487024564993E-2</v>
      </c>
      <c r="AA55" s="12">
        <f t="shared" si="67"/>
        <v>-4.2861983683299444E-2</v>
      </c>
      <c r="AB55" s="12">
        <f t="shared" si="67"/>
        <v>-3.0815179553411971E-2</v>
      </c>
      <c r="AC55" s="12">
        <f t="shared" si="67"/>
        <v>-3.8954682290743538E-2</v>
      </c>
      <c r="AD55" s="12">
        <f>(AD45+AD224)/AD$5</f>
        <v>-4.1666884378581043E-2</v>
      </c>
    </row>
    <row r="56" spans="2:30" s="10" customFormat="1">
      <c r="C56" s="10" t="s">
        <v>59</v>
      </c>
      <c r="F56" s="12">
        <f t="shared" ref="F56:I56" si="68">F47/F$5</f>
        <v>-3.8474072391005795E-2</v>
      </c>
      <c r="G56" s="12">
        <f t="shared" si="68"/>
        <v>-3.3682835093521948E-2</v>
      </c>
      <c r="H56" s="12">
        <f t="shared" si="68"/>
        <v>-3.2769712244892203E-2</v>
      </c>
      <c r="I56" s="12">
        <f t="shared" si="68"/>
        <v>-3.5050297305101633E-2</v>
      </c>
      <c r="J56" s="12">
        <f>J47/J$5</f>
        <v>-3.4329045806654905E-2</v>
      </c>
      <c r="K56" s="17">
        <f>J56</f>
        <v>-3.4329045806654905E-2</v>
      </c>
      <c r="L56" s="17">
        <f t="shared" ref="L56:U56" si="69">K56</f>
        <v>-3.4329045806654905E-2</v>
      </c>
      <c r="M56" s="17">
        <f t="shared" si="69"/>
        <v>-3.4329045806654905E-2</v>
      </c>
      <c r="N56" s="17">
        <f t="shared" si="69"/>
        <v>-3.4329045806654905E-2</v>
      </c>
      <c r="O56" s="17">
        <f t="shared" si="69"/>
        <v>-3.4329045806654905E-2</v>
      </c>
      <c r="P56" s="17">
        <f t="shared" si="69"/>
        <v>-3.4329045806654905E-2</v>
      </c>
      <c r="Q56" s="17">
        <f t="shared" si="69"/>
        <v>-3.4329045806654905E-2</v>
      </c>
      <c r="R56" s="17">
        <f t="shared" si="69"/>
        <v>-3.4329045806654905E-2</v>
      </c>
      <c r="S56" s="17">
        <f t="shared" si="69"/>
        <v>-3.4329045806654905E-2</v>
      </c>
      <c r="T56" s="17">
        <f t="shared" si="69"/>
        <v>-3.4329045806654905E-2</v>
      </c>
      <c r="U56" s="17">
        <f t="shared" si="69"/>
        <v>-3.4329045806654905E-2</v>
      </c>
      <c r="X56" s="12">
        <f t="shared" ref="X56:AC56" si="70">X47/X$5</f>
        <v>-3.1299614281974704E-2</v>
      </c>
      <c r="Y56" s="12">
        <f t="shared" si="70"/>
        <v>-3.3958584313662138E-2</v>
      </c>
      <c r="Z56" s="12">
        <f t="shared" si="70"/>
        <v>-3.4678924921322615E-2</v>
      </c>
      <c r="AA56" s="12">
        <f t="shared" si="70"/>
        <v>-3.5333564086305502E-2</v>
      </c>
      <c r="AB56" s="12">
        <f t="shared" si="70"/>
        <v>-3.7551093981115773E-2</v>
      </c>
      <c r="AC56" s="12">
        <f t="shared" si="70"/>
        <v>-3.1793534908364521E-2</v>
      </c>
      <c r="AD56" s="12">
        <f>AD47/AD$5</f>
        <v>-3.6880808105645091E-2</v>
      </c>
    </row>
    <row r="57" spans="2:30" s="10" customFormat="1">
      <c r="C57" s="10" t="s">
        <v>60</v>
      </c>
      <c r="F57" s="12">
        <f>(F48+F206)/F$5</f>
        <v>-4.1548065361261925E-2</v>
      </c>
      <c r="G57" s="12">
        <f>(G48+G206)/G$5</f>
        <v>-3.662006899355328E-2</v>
      </c>
      <c r="H57" s="12">
        <f>(H48+H206)/H$5</f>
        <v>-3.3828452492533259E-2</v>
      </c>
      <c r="I57" s="12">
        <f>(I48+I206)/I$5</f>
        <v>-4.062213081424472E-2</v>
      </c>
      <c r="J57" s="12">
        <f>(J48+J206)/J$5</f>
        <v>-4.7194073518876785E-2</v>
      </c>
      <c r="K57" s="12">
        <f t="shared" ref="K57:U57" si="71">(K48+K206)/K$5</f>
        <v>-7.1560898707459741E-2</v>
      </c>
      <c r="L57" s="12">
        <f t="shared" si="71"/>
        <v>-6.5644434404171934E-2</v>
      </c>
      <c r="M57" s="12">
        <f t="shared" si="71"/>
        <v>-7.2447193560598311E-2</v>
      </c>
      <c r="N57" s="12">
        <f t="shared" si="71"/>
        <v>-8.1411640927097878E-2</v>
      </c>
      <c r="O57" s="12">
        <f t="shared" si="71"/>
        <v>-8.9428130725339464E-2</v>
      </c>
      <c r="P57" s="12">
        <f t="shared" si="71"/>
        <v>-9.6815307305660903E-2</v>
      </c>
      <c r="Q57" s="12">
        <f t="shared" si="71"/>
        <v>-0.10305614807235426</v>
      </c>
      <c r="R57" s="12">
        <f t="shared" si="71"/>
        <v>-0.11020757624421944</v>
      </c>
      <c r="S57" s="12">
        <f t="shared" si="71"/>
        <v>-0.1165989675271205</v>
      </c>
      <c r="T57" s="12">
        <f t="shared" si="71"/>
        <v>-0.12226830020562764</v>
      </c>
      <c r="U57" s="12">
        <f t="shared" si="71"/>
        <v>-0.12692447605761745</v>
      </c>
      <c r="X57" s="12">
        <f t="shared" ref="X57:AC57" si="72">(X48+X206)/X$5</f>
        <v>-3.4271398729832335E-2</v>
      </c>
      <c r="Y57" s="12">
        <f t="shared" si="72"/>
        <v>-3.3470240711566956E-2</v>
      </c>
      <c r="Z57" s="12">
        <f t="shared" si="72"/>
        <v>-3.9981510747354766E-2</v>
      </c>
      <c r="AA57" s="12">
        <f t="shared" si="72"/>
        <v>-4.1110768074980042E-2</v>
      </c>
      <c r="AB57" s="12">
        <f t="shared" si="72"/>
        <v>-4.6377455764724754E-2</v>
      </c>
      <c r="AC57" s="12">
        <f t="shared" si="72"/>
        <v>-4.7836690606914693E-2</v>
      </c>
      <c r="AD57" s="12">
        <f>(AD48+AD206)/AD$5</f>
        <v>-9.3207849308521343E-2</v>
      </c>
    </row>
    <row r="58" spans="2:30" s="10" customFormat="1">
      <c r="C58" s="10" t="s">
        <v>61</v>
      </c>
      <c r="F58" s="12">
        <f>F49/F$5</f>
        <v>-1.1675822982752913E-2</v>
      </c>
      <c r="G58" s="12">
        <f>G49/G$5</f>
        <v>-1.0820491500298552E-2</v>
      </c>
      <c r="H58" s="12">
        <f>H49/H$5</f>
        <v>-1.1243404025694804E-2</v>
      </c>
      <c r="I58" s="12">
        <f>I49/I$5</f>
        <v>-9.3976698823155028E-3</v>
      </c>
      <c r="J58" s="12">
        <f>J49/J$5</f>
        <v>-8.2819597321744341E-3</v>
      </c>
      <c r="K58" s="12">
        <f t="shared" ref="K58:U58" si="73">K49/K$5</f>
        <v>-4.5634929579158592E-3</v>
      </c>
      <c r="L58" s="12">
        <f t="shared" si="73"/>
        <v>-4.401061969955395E-3</v>
      </c>
      <c r="M58" s="12">
        <f t="shared" si="73"/>
        <v>-4.2382162000830659E-3</v>
      </c>
      <c r="N58" s="12">
        <f t="shared" si="73"/>
        <v>-4.2400349360808319E-3</v>
      </c>
      <c r="O58" s="12">
        <f t="shared" si="73"/>
        <v>-4.2622621118655352E-3</v>
      </c>
      <c r="P58" s="12">
        <f t="shared" si="73"/>
        <v>-4.2381230091223937E-3</v>
      </c>
      <c r="Q58" s="12">
        <f t="shared" si="73"/>
        <v>-4.1553925459527682E-3</v>
      </c>
      <c r="R58" s="12">
        <f t="shared" si="73"/>
        <v>-4.0810471439788028E-3</v>
      </c>
      <c r="S58" s="12">
        <f t="shared" si="73"/>
        <v>-4.0314631486926518E-3</v>
      </c>
      <c r="T58" s="12">
        <f t="shared" si="73"/>
        <v>-3.9613363788887253E-3</v>
      </c>
      <c r="U58" s="12">
        <f t="shared" si="73"/>
        <v>-3.8505702225106468E-3</v>
      </c>
      <c r="X58" s="12">
        <f>X49/X$5</f>
        <v>-1.0089222918526135E-2</v>
      </c>
      <c r="Y58" s="12">
        <f>Y49/Y$5</f>
        <v>-1.2176793306700016E-2</v>
      </c>
      <c r="Z58" s="12">
        <f>Z49/Z$5</f>
        <v>-9.8584379141900373E-3</v>
      </c>
      <c r="AA58" s="12">
        <f>AA49/AA$5</f>
        <v>-9.0462159698231643E-3</v>
      </c>
      <c r="AB58" s="12">
        <f>AB49/AB$5</f>
        <v>-8.0672096739134707E-3</v>
      </c>
      <c r="AC58" s="12">
        <f>AC49/AC$5</f>
        <v>-8.4509519643344265E-3</v>
      </c>
      <c r="AD58" s="12">
        <f>AD49/AD$5</f>
        <v>-8.1085137652840179E-3</v>
      </c>
    </row>
    <row r="59" spans="2:30" s="10" customFormat="1">
      <c r="C59" s="10" t="s">
        <v>62</v>
      </c>
      <c r="F59" s="12">
        <f t="shared" ref="F59:J59" si="74">F51/F$5</f>
        <v>-4.6574224527253724E-2</v>
      </c>
      <c r="G59" s="12">
        <f t="shared" si="74"/>
        <v>-4.7699407993610402E-2</v>
      </c>
      <c r="H59" s="12">
        <f t="shared" si="74"/>
        <v>-4.1834247266895233E-2</v>
      </c>
      <c r="I59" s="12">
        <f t="shared" si="74"/>
        <v>-4.3966562752296823E-2</v>
      </c>
      <c r="J59" s="12">
        <f t="shared" si="74"/>
        <v>-3.7661501490898856E-2</v>
      </c>
      <c r="K59" s="17">
        <v>-3.5000000000000003E-2</v>
      </c>
      <c r="L59" s="17">
        <f t="shared" ref="L59:U59" si="75">K59</f>
        <v>-3.5000000000000003E-2</v>
      </c>
      <c r="M59" s="17">
        <f t="shared" si="75"/>
        <v>-3.5000000000000003E-2</v>
      </c>
      <c r="N59" s="17">
        <f t="shared" si="75"/>
        <v>-3.5000000000000003E-2</v>
      </c>
      <c r="O59" s="17">
        <f t="shared" si="75"/>
        <v>-3.5000000000000003E-2</v>
      </c>
      <c r="P59" s="17">
        <f t="shared" si="75"/>
        <v>-3.5000000000000003E-2</v>
      </c>
      <c r="Q59" s="17">
        <f t="shared" si="75"/>
        <v>-3.5000000000000003E-2</v>
      </c>
      <c r="R59" s="17">
        <f t="shared" si="75"/>
        <v>-3.5000000000000003E-2</v>
      </c>
      <c r="S59" s="17">
        <f t="shared" si="75"/>
        <v>-3.5000000000000003E-2</v>
      </c>
      <c r="T59" s="17">
        <f t="shared" si="75"/>
        <v>-3.5000000000000003E-2</v>
      </c>
      <c r="U59" s="17">
        <f t="shared" si="75"/>
        <v>-3.5000000000000003E-2</v>
      </c>
      <c r="X59" s="12">
        <f t="shared" ref="X59:AD59" si="76">X51/X$5</f>
        <v>-3.3837426528022643E-2</v>
      </c>
      <c r="Y59" s="12">
        <f t="shared" si="76"/>
        <v>-4.8301297120184043E-2</v>
      </c>
      <c r="Z59" s="12">
        <f t="shared" si="76"/>
        <v>-4.3857771124406954E-2</v>
      </c>
      <c r="AA59" s="12">
        <f t="shared" si="76"/>
        <v>-4.4049544297506793E-2</v>
      </c>
      <c r="AB59" s="12">
        <f t="shared" si="76"/>
        <v>-3.9468555899094163E-2</v>
      </c>
      <c r="AC59" s="12">
        <f t="shared" si="76"/>
        <v>-3.6239484842575602E-2</v>
      </c>
      <c r="AD59" s="12">
        <f t="shared" si="76"/>
        <v>-5.2330772528956966E-2</v>
      </c>
    </row>
    <row r="62" spans="2:30" s="6" customFormat="1">
      <c r="B62" s="6" t="s">
        <v>63</v>
      </c>
      <c r="F62" s="6">
        <f t="shared" ref="F62:H62" si="77">F65+F204+F205+F206+F224</f>
        <v>794.43600000000004</v>
      </c>
      <c r="G62" s="6">
        <f t="shared" si="77"/>
        <v>1627.9499999999991</v>
      </c>
      <c r="H62" s="6">
        <f t="shared" si="77"/>
        <v>1966.9590000000007</v>
      </c>
      <c r="I62" s="6">
        <f>I65+I204+I205+I206+I224</f>
        <v>2936.8389999999986</v>
      </c>
      <c r="J62" s="6">
        <f>J65+J204+J205+J206+J224</f>
        <v>4515.9620000000004</v>
      </c>
      <c r="K62" s="6">
        <f t="shared" ref="K62:U62" si="78">K65+K204+K205+K206+K224</f>
        <v>3186.4115453365316</v>
      </c>
      <c r="L62" s="6">
        <f t="shared" si="78"/>
        <v>8582.2950329886389</v>
      </c>
      <c r="M62" s="6">
        <f t="shared" si="78"/>
        <v>11938.373366442742</v>
      </c>
      <c r="N62" s="6">
        <f t="shared" si="78"/>
        <v>15056.274443777664</v>
      </c>
      <c r="O62" s="6">
        <f t="shared" si="78"/>
        <v>17147.996782228187</v>
      </c>
      <c r="P62" s="6">
        <f t="shared" si="78"/>
        <v>19138.422567735157</v>
      </c>
      <c r="Q62" s="6">
        <f t="shared" si="78"/>
        <v>21576.544485317234</v>
      </c>
      <c r="R62" s="6">
        <f t="shared" si="78"/>
        <v>24037.805367431614</v>
      </c>
      <c r="S62" s="6">
        <f t="shared" si="78"/>
        <v>25814.735893773883</v>
      </c>
      <c r="T62" s="6">
        <f t="shared" si="78"/>
        <v>27523.13790917462</v>
      </c>
      <c r="U62" s="6">
        <f t="shared" si="78"/>
        <v>29624.329332737601</v>
      </c>
    </row>
    <row r="63" spans="2:30" s="8" customFormat="1">
      <c r="B63" s="8" t="s">
        <v>64</v>
      </c>
      <c r="F63" s="8">
        <f t="shared" ref="F63:H63" si="79">F62/F$5</f>
        <v>0.1380024118059674</v>
      </c>
      <c r="G63" s="8">
        <f t="shared" si="79"/>
        <v>0.20850607977831065</v>
      </c>
      <c r="H63" s="8">
        <f t="shared" si="79"/>
        <v>0.18491375055583401</v>
      </c>
      <c r="I63" s="8">
        <f>I62/I$5</f>
        <v>0.17306981513456807</v>
      </c>
      <c r="J63" s="8">
        <f>J62/J$5</f>
        <v>0.17005563230801024</v>
      </c>
      <c r="K63" s="8">
        <f t="shared" ref="K63:U63" si="80">K62/K$5</f>
        <v>9.4451495501670313E-2</v>
      </c>
      <c r="L63" s="8">
        <f t="shared" si="80"/>
        <v>0.15333825912637175</v>
      </c>
      <c r="M63" s="8">
        <f t="shared" si="80"/>
        <v>0.16432659474562447</v>
      </c>
      <c r="N63" s="8">
        <f t="shared" si="80"/>
        <v>0.17277675090632785</v>
      </c>
      <c r="O63" s="8">
        <f t="shared" si="80"/>
        <v>0.17201014101351456</v>
      </c>
      <c r="P63" s="8">
        <f t="shared" si="80"/>
        <v>0.17043633212991319</v>
      </c>
      <c r="Q63" s="8">
        <f t="shared" si="80"/>
        <v>0.17127096574461942</v>
      </c>
      <c r="R63" s="8">
        <f t="shared" si="80"/>
        <v>0.17351317943283276</v>
      </c>
      <c r="S63" s="8">
        <f t="shared" si="80"/>
        <v>0.17203334923799013</v>
      </c>
      <c r="T63" s="8">
        <f t="shared" si="80"/>
        <v>0.17002628558458069</v>
      </c>
      <c r="U63" s="8">
        <f t="shared" si="80"/>
        <v>0.16941843855582628</v>
      </c>
    </row>
    <row r="65" spans="2:30" s="6" customFormat="1">
      <c r="B65" s="6" t="s">
        <v>65</v>
      </c>
      <c r="F65" s="6">
        <f>F32+F35+F38</f>
        <v>555.25700000000006</v>
      </c>
      <c r="G65" s="6">
        <f>G32+G35+G38</f>
        <v>1342.0319999999992</v>
      </c>
      <c r="H65" s="6">
        <f>H32+H35+H38</f>
        <v>1607.1200000000008</v>
      </c>
      <c r="I65" s="6">
        <f>I32+I35+I38</f>
        <v>2247.5179999999982</v>
      </c>
      <c r="J65" s="6">
        <f>J32+J35+J38</f>
        <v>3323.6920000000009</v>
      </c>
      <c r="K65" s="6">
        <f t="shared" ref="K65:U65" si="81">K32+K35+K38</f>
        <v>772.23617812833982</v>
      </c>
      <c r="L65" s="6">
        <f t="shared" si="81"/>
        <v>4908.1963015952497</v>
      </c>
      <c r="M65" s="6">
        <f t="shared" si="81"/>
        <v>6675.0643602759301</v>
      </c>
      <c r="N65" s="6">
        <f t="shared" si="81"/>
        <v>7961.8245117887272</v>
      </c>
      <c r="O65" s="6">
        <f t="shared" si="81"/>
        <v>8232.7474319104222</v>
      </c>
      <c r="P65" s="6">
        <f t="shared" si="81"/>
        <v>8266.9596637545183</v>
      </c>
      <c r="Q65" s="6">
        <f t="shared" si="81"/>
        <v>8593.6343131157482</v>
      </c>
      <c r="R65" s="6">
        <f t="shared" si="81"/>
        <v>8770.0990385275509</v>
      </c>
      <c r="S65" s="6">
        <f t="shared" si="81"/>
        <v>8318.2936892141588</v>
      </c>
      <c r="T65" s="6">
        <f t="shared" si="81"/>
        <v>7730.8612214279565</v>
      </c>
      <c r="U65" s="6">
        <f t="shared" si="81"/>
        <v>7430.449427056461</v>
      </c>
      <c r="X65" s="6">
        <f t="shared" ref="X65:AD65" si="82">X32+X35+X38</f>
        <v>756.07199999999966</v>
      </c>
      <c r="Y65" s="6">
        <f t="shared" si="82"/>
        <v>851.04800000000023</v>
      </c>
      <c r="Z65" s="6">
        <f t="shared" si="82"/>
        <v>885.66099999999915</v>
      </c>
      <c r="AA65" s="6">
        <f t="shared" si="82"/>
        <v>1361.8569999999982</v>
      </c>
      <c r="AB65" s="6">
        <f t="shared" si="82"/>
        <v>1337.639000000001</v>
      </c>
      <c r="AC65" s="6">
        <f t="shared" si="82"/>
        <v>1986.0530000000008</v>
      </c>
      <c r="AD65" s="6">
        <f t="shared" si="82"/>
        <v>-816.16800000000057</v>
      </c>
    </row>
    <row r="66" spans="2:30" s="8" customFormat="1">
      <c r="B66" s="8" t="s">
        <v>66</v>
      </c>
      <c r="F66" s="8">
        <f t="shared" ref="F66:I66" si="83">F65/F$5</f>
        <v>9.6454346444705491E-2</v>
      </c>
      <c r="G66" s="8">
        <f t="shared" si="83"/>
        <v>0.1718860107847574</v>
      </c>
      <c r="H66" s="8">
        <f t="shared" si="83"/>
        <v>0.15108529806330073</v>
      </c>
      <c r="I66" s="8">
        <f t="shared" si="83"/>
        <v>0.13244768432032331</v>
      </c>
      <c r="J66" s="8">
        <f>J65/J$5</f>
        <v>0.12515883540585046</v>
      </c>
      <c r="K66" s="8">
        <f t="shared" ref="K66:U66" si="84">K65/K$5</f>
        <v>2.2890596794210571E-2</v>
      </c>
      <c r="L66" s="8">
        <f t="shared" si="84"/>
        <v>8.7693824722199817E-2</v>
      </c>
      <c r="M66" s="8">
        <f t="shared" si="84"/>
        <v>9.1879401185026133E-2</v>
      </c>
      <c r="N66" s="8">
        <f t="shared" si="84"/>
        <v>9.1365109979230003E-2</v>
      </c>
      <c r="O66" s="8">
        <f t="shared" si="84"/>
        <v>8.2582010288175092E-2</v>
      </c>
      <c r="P66" s="8">
        <f t="shared" si="84"/>
        <v>7.3621024824252312E-2</v>
      </c>
      <c r="Q66" s="8">
        <f t="shared" si="84"/>
        <v>6.8214817672265157E-2</v>
      </c>
      <c r="R66" s="8">
        <f t="shared" si="84"/>
        <v>6.3305603188613321E-2</v>
      </c>
      <c r="S66" s="8">
        <f t="shared" si="84"/>
        <v>5.5434381710869632E-2</v>
      </c>
      <c r="T66" s="8">
        <f t="shared" si="84"/>
        <v>4.7757985378953052E-2</v>
      </c>
      <c r="U66" s="8">
        <f t="shared" si="84"/>
        <v>4.2493962498208838E-2</v>
      </c>
      <c r="X66" s="8">
        <f>X65/X$5</f>
        <v>0.1589700729489609</v>
      </c>
      <c r="Y66" s="8">
        <f t="shared" ref="Y66:AD66" si="85">Y65/Y$5</f>
        <v>0.14470885998464578</v>
      </c>
      <c r="Z66" s="8">
        <f t="shared" si="85"/>
        <v>0.12061881251494681</v>
      </c>
      <c r="AA66" s="8">
        <f t="shared" si="85"/>
        <v>0.14147023577524256</v>
      </c>
      <c r="AB66" s="8">
        <f t="shared" si="85"/>
        <v>0.11438065655113734</v>
      </c>
      <c r="AC66" s="8">
        <f t="shared" si="85"/>
        <v>0.13364045593730672</v>
      </c>
      <c r="AD66" s="8">
        <f t="shared" si="85"/>
        <v>-8.3618587167496344E-2</v>
      </c>
    </row>
    <row r="68" spans="2:30">
      <c r="B68" s="1" t="s">
        <v>67</v>
      </c>
      <c r="F68" s="2">
        <v>0</v>
      </c>
      <c r="G68" s="2">
        <v>0</v>
      </c>
      <c r="H68" s="2">
        <v>0.48199999999999998</v>
      </c>
      <c r="I68" s="2">
        <f>30.049-2.363</f>
        <v>27.686</v>
      </c>
      <c r="J68" s="2">
        <f>75.262-10.023</f>
        <v>65.239000000000004</v>
      </c>
      <c r="X68" s="2">
        <v>0</v>
      </c>
      <c r="Y68" s="1">
        <f>H68-X68</f>
        <v>0.48199999999999998</v>
      </c>
      <c r="Z68" s="2">
        <v>5.2050000000000001</v>
      </c>
      <c r="AA68" s="1">
        <f>I68-Z68</f>
        <v>22.481000000000002</v>
      </c>
      <c r="AB68" s="2">
        <f>21.828-3.539</f>
        <v>18.288999999999998</v>
      </c>
      <c r="AC68" s="1">
        <f>J68-AB68</f>
        <v>46.95</v>
      </c>
      <c r="AD68" s="2">
        <f>45.452-3.52</f>
        <v>41.931999999999995</v>
      </c>
    </row>
    <row r="70" spans="2:30">
      <c r="B70" s="1" t="s">
        <v>68</v>
      </c>
      <c r="F70" s="2">
        <v>8.0719999999999992</v>
      </c>
      <c r="G70" s="2">
        <v>12.012</v>
      </c>
      <c r="H70" s="2">
        <v>26.062000000000001</v>
      </c>
      <c r="I70" s="2">
        <v>17.856999999999999</v>
      </c>
      <c r="J70" s="2">
        <v>95.084000000000003</v>
      </c>
      <c r="X70" s="2">
        <v>8.1859999999999999</v>
      </c>
      <c r="Y70" s="1">
        <f>H70-X70</f>
        <v>17.876000000000001</v>
      </c>
      <c r="Z70" s="2">
        <v>18.826000000000001</v>
      </c>
      <c r="AA70" s="1">
        <f>I70-Z70</f>
        <v>-0.96900000000000119</v>
      </c>
      <c r="AB70" s="2">
        <v>-2.786</v>
      </c>
      <c r="AC70" s="1">
        <f>J70-AB70</f>
        <v>97.87</v>
      </c>
      <c r="AD70" s="2">
        <v>32.820999999999998</v>
      </c>
    </row>
    <row r="72" spans="2:30">
      <c r="B72" s="1" t="s">
        <v>69</v>
      </c>
      <c r="F72" s="2">
        <v>-3.2210000000000001</v>
      </c>
      <c r="G72" s="2">
        <v>-8.1669999999999998</v>
      </c>
      <c r="H72" s="2">
        <v>-8.6140000000000008</v>
      </c>
      <c r="I72" s="2">
        <v>-31.231000000000002</v>
      </c>
      <c r="J72" s="2">
        <v>-236.791</v>
      </c>
      <c r="X72" s="2">
        <v>-6.282</v>
      </c>
      <c r="Y72" s="1">
        <f>H72-X72</f>
        <v>-2.3320000000000007</v>
      </c>
      <c r="Z72" s="2">
        <v>-8.7739999999999991</v>
      </c>
      <c r="AA72" s="1">
        <f>I72-Z72</f>
        <v>-22.457000000000001</v>
      </c>
      <c r="AB72" s="2">
        <v>-102.134</v>
      </c>
      <c r="AC72" s="1">
        <f>J72-AB72</f>
        <v>-134.65699999999998</v>
      </c>
      <c r="AD72" s="2">
        <v>-183.00299999999999</v>
      </c>
    </row>
    <row r="74" spans="2:30" s="6" customFormat="1">
      <c r="B74" s="6" t="s">
        <v>70</v>
      </c>
      <c r="F74" s="6">
        <f>F65+F68+F70+F72</f>
        <v>560.10800000000006</v>
      </c>
      <c r="G74" s="6">
        <f>G65+G68+G70+G72</f>
        <v>1345.8769999999993</v>
      </c>
      <c r="H74" s="6">
        <f>H65+H68+H70+H72</f>
        <v>1625.0500000000006</v>
      </c>
      <c r="I74" s="6">
        <f t="shared" ref="I74:J74" si="86">I65+I68+I70+I72</f>
        <v>2261.8299999999981</v>
      </c>
      <c r="J74" s="6">
        <f t="shared" si="86"/>
        <v>3247.2240000000006</v>
      </c>
      <c r="X74" s="6">
        <f t="shared" ref="X74:AD74" si="87">X65+X68+X70+X72</f>
        <v>757.97599999999966</v>
      </c>
      <c r="Y74" s="6">
        <f>Y65+Y68+Y70+Y72</f>
        <v>867.07400000000018</v>
      </c>
      <c r="Z74" s="6">
        <f t="shared" si="87"/>
        <v>900.91799999999921</v>
      </c>
      <c r="AA74" s="6">
        <f>AA65+AA68+AA70+AA72</f>
        <v>1360.911999999998</v>
      </c>
      <c r="AB74" s="6">
        <f t="shared" si="87"/>
        <v>1251.0080000000009</v>
      </c>
      <c r="AC74" s="6">
        <f>AC65+AC68+AC70+AC72</f>
        <v>1996.216000000001</v>
      </c>
      <c r="AD74" s="6">
        <f t="shared" si="87"/>
        <v>-924.41800000000057</v>
      </c>
    </row>
    <row r="76" spans="2:30">
      <c r="B76" s="1" t="s">
        <v>71</v>
      </c>
      <c r="F76" s="2">
        <v>-149.42599999999999</v>
      </c>
      <c r="G76" s="2">
        <v>-367.68599999999998</v>
      </c>
      <c r="H76" s="2">
        <v>-430.70800000000003</v>
      </c>
      <c r="I76" s="2">
        <v>-612.98400000000004</v>
      </c>
      <c r="J76" s="2">
        <v>-900.26199999999994</v>
      </c>
      <c r="X76" s="2">
        <v>-204.828</v>
      </c>
      <c r="Y76" s="1">
        <f>H76-X76</f>
        <v>-225.88000000000002</v>
      </c>
      <c r="Z76" s="2">
        <v>-253.50700000000001</v>
      </c>
      <c r="AA76" s="1">
        <f>I76-Z76</f>
        <v>-359.47700000000003</v>
      </c>
      <c r="AB76" s="2">
        <v>-338.84300000000002</v>
      </c>
      <c r="AC76" s="1">
        <f>J76-AB76</f>
        <v>-561.41899999999987</v>
      </c>
      <c r="AD76" s="2">
        <v>-40.088999999999999</v>
      </c>
    </row>
    <row r="77" spans="2:30" s="8" customFormat="1">
      <c r="C77" s="8" t="s">
        <v>72</v>
      </c>
      <c r="F77" s="8">
        <f>-F76/F74</f>
        <v>0.26678069229505735</v>
      </c>
      <c r="G77" s="8">
        <f t="shared" ref="G77:J77" si="88">-G76/G74</f>
        <v>0.2731943557992299</v>
      </c>
      <c r="H77" s="8">
        <f t="shared" si="88"/>
        <v>0.26504292175625355</v>
      </c>
      <c r="I77" s="8">
        <f t="shared" si="88"/>
        <v>0.27101241030493034</v>
      </c>
      <c r="J77" s="8">
        <f t="shared" si="88"/>
        <v>0.27724049834566378</v>
      </c>
      <c r="X77" s="8">
        <f t="shared" ref="X77" si="89">-X76/X74</f>
        <v>0.27023019198497061</v>
      </c>
      <c r="Y77" s="8">
        <f>-Y76/Y74</f>
        <v>0.2605083303155209</v>
      </c>
      <c r="Z77" s="8">
        <f t="shared" ref="Z77:AD77" si="90">-Z76/Z74</f>
        <v>0.28138742926659277</v>
      </c>
      <c r="AA77" s="8">
        <f t="shared" si="90"/>
        <v>0.26414419154214275</v>
      </c>
      <c r="AB77" s="8">
        <f t="shared" si="90"/>
        <v>0.27085598173632763</v>
      </c>
      <c r="AC77" s="8">
        <f t="shared" si="90"/>
        <v>0.28124160912446328</v>
      </c>
      <c r="AD77" s="8">
        <f t="shared" si="90"/>
        <v>-4.336674534680196E-2</v>
      </c>
    </row>
    <row r="79" spans="2:30" s="6" customFormat="1">
      <c r="B79" s="6" t="s">
        <v>73</v>
      </c>
      <c r="F79" s="6">
        <f>F74+F76</f>
        <v>410.68200000000007</v>
      </c>
      <c r="G79" s="6">
        <f t="shared" ref="G79:J79" si="91">G74+G76</f>
        <v>978.19099999999935</v>
      </c>
      <c r="H79" s="6">
        <f t="shared" si="91"/>
        <v>1194.3420000000006</v>
      </c>
      <c r="I79" s="6">
        <f t="shared" si="91"/>
        <v>1648.8459999999982</v>
      </c>
      <c r="J79" s="6">
        <f t="shared" si="91"/>
        <v>2346.9620000000004</v>
      </c>
      <c r="X79" s="6">
        <f t="shared" ref="X79:AD79" si="92">X74+X76</f>
        <v>553.14799999999968</v>
      </c>
      <c r="Y79" s="6">
        <f>Y74+Y76</f>
        <v>641.19400000000019</v>
      </c>
      <c r="Z79" s="6">
        <f t="shared" si="92"/>
        <v>647.41099999999915</v>
      </c>
      <c r="AA79" s="6">
        <f>AA74+AA76</f>
        <v>1001.4349999999979</v>
      </c>
      <c r="AB79" s="6">
        <f t="shared" si="92"/>
        <v>912.16500000000087</v>
      </c>
      <c r="AC79" s="6">
        <f t="shared" si="92"/>
        <v>1434.7970000000012</v>
      </c>
      <c r="AD79" s="6">
        <f t="shared" si="92"/>
        <v>-964.50700000000052</v>
      </c>
    </row>
    <row r="80" spans="2:30" s="8" customFormat="1">
      <c r="B80" s="8" t="s">
        <v>74</v>
      </c>
      <c r="F80" s="8">
        <f t="shared" ref="F80:I80" si="93">F79/F$5</f>
        <v>7.1340053176465204E-2</v>
      </c>
      <c r="G80" s="8">
        <f t="shared" si="93"/>
        <v>0.12528564801402098</v>
      </c>
      <c r="H80" s="8">
        <f t="shared" si="93"/>
        <v>0.11228005193110578</v>
      </c>
      <c r="I80" s="8">
        <f t="shared" si="93"/>
        <v>9.7167557501576296E-2</v>
      </c>
      <c r="J80" s="8">
        <f>J79/J$5</f>
        <v>8.8378535273962097E-2</v>
      </c>
      <c r="X80" s="8">
        <f>X79/X$5</f>
        <v>0.11630370905359783</v>
      </c>
      <c r="Y80" s="8">
        <f t="shared" ref="Y80:AD80" si="94">Y79/Y$5</f>
        <v>0.10902610988921302</v>
      </c>
      <c r="Z80" s="8">
        <f t="shared" si="94"/>
        <v>8.8171372600932191E-2</v>
      </c>
      <c r="AA80" s="8">
        <f t="shared" si="94"/>
        <v>0.10402945798536846</v>
      </c>
      <c r="AB80" s="8">
        <f t="shared" si="94"/>
        <v>7.7998646557829288E-2</v>
      </c>
      <c r="AC80" s="8">
        <f t="shared" si="94"/>
        <v>9.654673125917583E-2</v>
      </c>
      <c r="AD80" s="8">
        <f t="shared" si="94"/>
        <v>-9.8816313128130953E-2</v>
      </c>
    </row>
    <row r="81" spans="2:31">
      <c r="C81" s="1" t="s">
        <v>75</v>
      </c>
      <c r="F81" s="1">
        <f>F79-F82</f>
        <v>272.6930000000001</v>
      </c>
      <c r="G81" s="1">
        <f>G79-G82</f>
        <v>735.16899999999941</v>
      </c>
      <c r="H81" s="1">
        <f>H79-H82</f>
        <v>1027.8450000000005</v>
      </c>
      <c r="I81" s="1">
        <f t="shared" ref="I81:J81" si="95">I79-I82</f>
        <v>1646.1559999999981</v>
      </c>
      <c r="J81" s="1">
        <f t="shared" si="95"/>
        <v>2344.7110000000002</v>
      </c>
      <c r="X81" s="1">
        <f t="shared" ref="X81" si="96">X79-X82</f>
        <v>424.80299999999966</v>
      </c>
      <c r="Y81" s="1">
        <f>Y79-Y82</f>
        <v>603.04200000000014</v>
      </c>
      <c r="Z81" s="1">
        <f t="shared" ref="Z81:AD81" si="97">Z79-Z82</f>
        <v>646.48799999999915</v>
      </c>
      <c r="AA81" s="1">
        <f t="shared" si="97"/>
        <v>999.66799999999785</v>
      </c>
      <c r="AB81" s="1">
        <f t="shared" si="97"/>
        <v>911.03500000000088</v>
      </c>
      <c r="AC81" s="1">
        <f t="shared" si="97"/>
        <v>1433.6760000000011</v>
      </c>
      <c r="AD81" s="1">
        <f t="shared" si="97"/>
        <v>-964.60200000000054</v>
      </c>
    </row>
    <row r="82" spans="2:31">
      <c r="C82" s="1" t="s">
        <v>76</v>
      </c>
      <c r="F82" s="2">
        <v>137.989</v>
      </c>
      <c r="G82" s="2">
        <v>243.02199999999999</v>
      </c>
      <c r="H82" s="2">
        <v>166.49700000000001</v>
      </c>
      <c r="I82" s="2">
        <v>2.69</v>
      </c>
      <c r="J82" s="2">
        <v>2.2509999999999999</v>
      </c>
      <c r="V82" s="2"/>
      <c r="W82" s="2"/>
      <c r="X82" s="2">
        <v>128.345</v>
      </c>
      <c r="Y82" s="1">
        <f>H82-X82</f>
        <v>38.152000000000015</v>
      </c>
      <c r="Z82" s="2">
        <v>0.92300000000000004</v>
      </c>
      <c r="AA82" s="1">
        <f>I82-Z82</f>
        <v>1.7669999999999999</v>
      </c>
      <c r="AB82" s="2">
        <v>1.1299999999999999</v>
      </c>
      <c r="AC82" s="1">
        <f>J82-AB82</f>
        <v>1.121</v>
      </c>
      <c r="AD82" s="2">
        <v>9.5000000000000001E-2</v>
      </c>
    </row>
    <row r="83" spans="2:31" s="8" customFormat="1">
      <c r="D83" s="8" t="s">
        <v>77</v>
      </c>
      <c r="F83" s="8">
        <f>F82/F79</f>
        <v>0.3359996298839491</v>
      </c>
      <c r="G83" s="8">
        <f>G82/G79</f>
        <v>0.24844023304242235</v>
      </c>
      <c r="H83" s="8">
        <f>H82/H79</f>
        <v>0.13940479360183258</v>
      </c>
      <c r="I83" s="8">
        <f t="shared" ref="I83:J83" si="98">I82/I79</f>
        <v>1.6314440523857309E-3</v>
      </c>
      <c r="J83" s="8">
        <f t="shared" si="98"/>
        <v>9.591122480892317E-4</v>
      </c>
      <c r="X83" s="8">
        <f t="shared" ref="X83" si="99">X82/X79</f>
        <v>0.23202651008410058</v>
      </c>
      <c r="Y83" s="8">
        <f>Y82/Y79</f>
        <v>5.950149252800245E-2</v>
      </c>
      <c r="Z83" s="8">
        <f t="shared" ref="Z83:AD83" si="100">Z82/Z79</f>
        <v>1.4256785874815245E-3</v>
      </c>
      <c r="AA83" s="8">
        <f t="shared" si="100"/>
        <v>1.7644679884365971E-3</v>
      </c>
      <c r="AB83" s="8">
        <f t="shared" si="100"/>
        <v>1.2388109607362691E-3</v>
      </c>
      <c r="AC83" s="8">
        <f t="shared" si="100"/>
        <v>7.8129519367548103E-4</v>
      </c>
      <c r="AD83" s="8">
        <f t="shared" si="100"/>
        <v>-9.8495915529902796E-5</v>
      </c>
    </row>
    <row r="85" spans="2:31">
      <c r="B85" s="1" t="s">
        <v>78</v>
      </c>
    </row>
    <row r="86" spans="2:31">
      <c r="C86" s="1" t="s">
        <v>79</v>
      </c>
    </row>
    <row r="87" spans="2:31">
      <c r="C87" s="1" t="s">
        <v>80</v>
      </c>
    </row>
    <row r="89" spans="2:31">
      <c r="B89" s="1" t="s">
        <v>81</v>
      </c>
    </row>
    <row r="90" spans="2:31">
      <c r="C90" s="1" t="s">
        <v>79</v>
      </c>
    </row>
    <row r="91" spans="2:31">
      <c r="C91" s="1" t="s">
        <v>80</v>
      </c>
    </row>
    <row r="94" spans="2:31" s="4" customFormat="1">
      <c r="B94" s="4" t="s">
        <v>82</v>
      </c>
      <c r="C94" s="4" t="s">
        <v>3</v>
      </c>
      <c r="F94" s="5" t="s">
        <v>4</v>
      </c>
      <c r="G94" s="5" t="s">
        <v>5</v>
      </c>
      <c r="H94" s="5" t="s">
        <v>6</v>
      </c>
      <c r="I94" s="5" t="s">
        <v>7</v>
      </c>
      <c r="J94" s="5" t="s">
        <v>8</v>
      </c>
      <c r="K94" s="5" t="s">
        <v>9</v>
      </c>
      <c r="L94" s="5" t="s">
        <v>10</v>
      </c>
      <c r="M94" s="5" t="s">
        <v>11</v>
      </c>
      <c r="N94" s="5" t="s">
        <v>12</v>
      </c>
      <c r="O94" s="5" t="s">
        <v>13</v>
      </c>
      <c r="P94" s="5" t="s">
        <v>14</v>
      </c>
      <c r="Q94" s="5" t="s">
        <v>15</v>
      </c>
      <c r="R94" s="5" t="s">
        <v>16</v>
      </c>
      <c r="S94" s="5" t="s">
        <v>17</v>
      </c>
      <c r="T94" s="5" t="s">
        <v>18</v>
      </c>
      <c r="U94" s="5" t="s">
        <v>19</v>
      </c>
      <c r="X94" s="5" t="s">
        <v>20</v>
      </c>
      <c r="Y94" s="5" t="s">
        <v>21</v>
      </c>
      <c r="Z94" s="5" t="s">
        <v>22</v>
      </c>
      <c r="AA94" s="5" t="s">
        <v>23</v>
      </c>
      <c r="AB94" s="5" t="s">
        <v>24</v>
      </c>
      <c r="AC94" s="5" t="s">
        <v>25</v>
      </c>
      <c r="AD94" s="5" t="s">
        <v>26</v>
      </c>
      <c r="AE94" s="5" t="s">
        <v>27</v>
      </c>
    </row>
    <row r="95" spans="2:31" s="6" customFormat="1">
      <c r="B95" s="6" t="s">
        <v>83</v>
      </c>
      <c r="F95" s="6">
        <f t="shared" ref="F95:I95" si="101">F97+F98+F99+F100+F101+F102+F103+F104+F105+F106+F107+F109</f>
        <v>1222.556</v>
      </c>
      <c r="G95" s="6">
        <f t="shared" si="101"/>
        <v>1492.8479999999997</v>
      </c>
      <c r="H95" s="6">
        <f t="shared" si="101"/>
        <v>2274.1309999999999</v>
      </c>
      <c r="I95" s="6">
        <f t="shared" si="101"/>
        <v>6208.6569999999992</v>
      </c>
      <c r="J95" s="6">
        <f>J97+J98+J99+J100+J101+J102+J103+J104+J105+J106+J107+J109</f>
        <v>13413.641</v>
      </c>
      <c r="K95" s="6">
        <f t="shared" ref="K95:U95" si="102">K97+K98+K99+K100+K101+K102+K103+K104+K105+K106+K107+K109</f>
        <v>18578.771220557814</v>
      </c>
      <c r="L95" s="6">
        <f t="shared" si="102"/>
        <v>24920.624547309388</v>
      </c>
      <c r="M95" s="6">
        <f t="shared" si="102"/>
        <v>31872.986881343084</v>
      </c>
      <c r="N95" s="6">
        <f t="shared" si="102"/>
        <v>38111.462558048079</v>
      </c>
      <c r="O95" s="6">
        <f t="shared" si="102"/>
        <v>44751.385375196616</v>
      </c>
      <c r="P95" s="6">
        <f t="shared" si="102"/>
        <v>51863.307883018628</v>
      </c>
      <c r="Q95" s="6">
        <f t="shared" si="102"/>
        <v>59511.223040396137</v>
      </c>
      <c r="R95" s="6">
        <f t="shared" si="102"/>
        <v>66420.315478576027</v>
      </c>
      <c r="S95" s="6">
        <f t="shared" si="102"/>
        <v>73612.110192327047</v>
      </c>
      <c r="T95" s="6">
        <f t="shared" si="102"/>
        <v>81201.192017925991</v>
      </c>
      <c r="U95" s="6">
        <f t="shared" si="102"/>
        <v>89278.418526725422</v>
      </c>
      <c r="X95" s="6">
        <f t="shared" ref="X95:AA95" si="103">X97+X98+X99+X100+X101+X102+X103+X104+X105+X106+X107+X109</f>
        <v>0</v>
      </c>
      <c r="Y95" s="6">
        <f>Y97+Y98+Y99+Y100+Y101+Y102+Y103+Y104+Y105+Y106+Y107+Y109</f>
        <v>2274.1309999999999</v>
      </c>
      <c r="Z95" s="6">
        <f t="shared" si="103"/>
        <v>3046.0710000000004</v>
      </c>
      <c r="AA95" s="6">
        <f t="shared" si="103"/>
        <v>6208.6569999999992</v>
      </c>
      <c r="AB95" s="6">
        <f>AB97+AB98+AB99+AB100+AB101+AB102+AB103+AB104+AB105+AB106+AB107+AB109</f>
        <v>10036.045</v>
      </c>
      <c r="AC95" s="6">
        <f>AC97+AC98+AC99+AC100+AC101+AC102+AC103+AC104+AC105+AC106+AC107+AC109</f>
        <v>13413.641</v>
      </c>
      <c r="AD95" s="6">
        <f t="shared" ref="AD95" si="104">AD97+AD98+AD99+AD100+AD101+AD102+AD103+AD104+AD105+AD106+AD107+AD109</f>
        <v>15589.587</v>
      </c>
    </row>
    <row r="97" spans="3:30">
      <c r="C97" s="1" t="s">
        <v>84</v>
      </c>
      <c r="F97" s="2">
        <v>796.62800000000004</v>
      </c>
      <c r="G97" s="2">
        <v>943.04100000000005</v>
      </c>
      <c r="H97" s="2">
        <v>2085.4279999999999</v>
      </c>
      <c r="I97" s="2">
        <v>3999.8029999999999</v>
      </c>
      <c r="J97" s="2">
        <v>7689.58</v>
      </c>
      <c r="K97" s="1">
        <f>K120</f>
        <v>11768.156974160705</v>
      </c>
      <c r="L97" s="1">
        <f t="shared" ref="L97:U97" si="105">L120</f>
        <v>16918.0073348855</v>
      </c>
      <c r="M97" s="1">
        <f t="shared" si="105"/>
        <v>22854.540134573515</v>
      </c>
      <c r="N97" s="1">
        <f t="shared" si="105"/>
        <v>28758.71605109216</v>
      </c>
      <c r="O97" s="1">
        <f t="shared" si="105"/>
        <v>35102.853787800617</v>
      </c>
      <c r="P97" s="1">
        <f t="shared" si="105"/>
        <v>41950.958944997124</v>
      </c>
      <c r="Q97" s="1">
        <f t="shared" si="105"/>
        <v>49361.618424762491</v>
      </c>
      <c r="R97" s="1">
        <f t="shared" si="105"/>
        <v>56590.603264213081</v>
      </c>
      <c r="S97" s="1">
        <f t="shared" si="105"/>
        <v>64037.333736237371</v>
      </c>
      <c r="T97" s="1">
        <f t="shared" si="105"/>
        <v>71827.202973666601</v>
      </c>
      <c r="U97" s="1">
        <f t="shared" si="105"/>
        <v>80060.08239086211</v>
      </c>
      <c r="X97" s="2"/>
      <c r="Y97" s="2">
        <v>2085.4279999999999</v>
      </c>
      <c r="Z97" s="2">
        <v>2760.5410000000002</v>
      </c>
      <c r="AA97" s="2">
        <v>3999.8029999999999</v>
      </c>
      <c r="AB97" s="2">
        <v>5037.2120000000004</v>
      </c>
      <c r="AC97" s="2">
        <v>7689.58</v>
      </c>
      <c r="AD97" s="2">
        <v>8800.2469999999994</v>
      </c>
    </row>
    <row r="98" spans="3:30">
      <c r="C98" s="1" t="s">
        <v>85</v>
      </c>
      <c r="F98" s="2">
        <v>0</v>
      </c>
      <c r="G98" s="2">
        <v>0</v>
      </c>
      <c r="H98" s="2">
        <v>0</v>
      </c>
      <c r="I98" s="2">
        <v>0</v>
      </c>
      <c r="J98" s="2">
        <v>4755.8389999999999</v>
      </c>
      <c r="K98" s="1">
        <f>K141</f>
        <v>5713.1991666666663</v>
      </c>
      <c r="L98" s="1">
        <f t="shared" ref="L98:U98" si="106">L141</f>
        <v>6760.9993055555551</v>
      </c>
      <c r="M98" s="1">
        <f t="shared" si="106"/>
        <v>7634.1660879629626</v>
      </c>
      <c r="N98" s="1">
        <f t="shared" si="106"/>
        <v>7861.8050733024702</v>
      </c>
      <c r="O98" s="1">
        <f t="shared" si="106"/>
        <v>8051.5042277520588</v>
      </c>
      <c r="P98" s="1">
        <f t="shared" si="106"/>
        <v>8209.5868564600496</v>
      </c>
      <c r="Q98" s="1">
        <f t="shared" si="106"/>
        <v>8341.3223803833753</v>
      </c>
      <c r="R98" s="1">
        <f t="shared" si="106"/>
        <v>7951.101983652813</v>
      </c>
      <c r="S98" s="1">
        <f t="shared" si="106"/>
        <v>7625.9183197106786</v>
      </c>
      <c r="T98" s="1">
        <f t="shared" si="106"/>
        <v>7354.9319330922335</v>
      </c>
      <c r="U98" s="1">
        <f t="shared" si="106"/>
        <v>7129.1099442435279</v>
      </c>
      <c r="X98" s="2"/>
      <c r="Y98" s="2">
        <v>0</v>
      </c>
      <c r="Z98" s="2">
        <v>0</v>
      </c>
      <c r="AA98" s="2">
        <v>0</v>
      </c>
      <c r="AB98" s="2">
        <v>4019.7060000000001</v>
      </c>
      <c r="AC98" s="2">
        <v>4755.8389999999999</v>
      </c>
      <c r="AD98" s="2">
        <v>5729.3519999999999</v>
      </c>
    </row>
    <row r="99" spans="3:30">
      <c r="C99" s="1" t="s">
        <v>86</v>
      </c>
      <c r="F99" s="2">
        <v>0</v>
      </c>
      <c r="G99" s="2">
        <v>0</v>
      </c>
      <c r="H99" s="2">
        <v>0</v>
      </c>
      <c r="I99" s="2">
        <v>0</v>
      </c>
      <c r="J99" s="2">
        <v>92.602000000000004</v>
      </c>
      <c r="K99" s="1">
        <f>J99</f>
        <v>92.602000000000004</v>
      </c>
      <c r="L99" s="1">
        <f t="shared" ref="L99:U99" si="107">K99</f>
        <v>92.602000000000004</v>
      </c>
      <c r="M99" s="1">
        <f t="shared" si="107"/>
        <v>92.602000000000004</v>
      </c>
      <c r="N99" s="1">
        <f t="shared" si="107"/>
        <v>92.602000000000004</v>
      </c>
      <c r="O99" s="1">
        <f t="shared" si="107"/>
        <v>92.602000000000004</v>
      </c>
      <c r="P99" s="1">
        <f t="shared" si="107"/>
        <v>92.602000000000004</v>
      </c>
      <c r="Q99" s="1">
        <f t="shared" si="107"/>
        <v>92.602000000000004</v>
      </c>
      <c r="R99" s="1">
        <f t="shared" si="107"/>
        <v>92.602000000000004</v>
      </c>
      <c r="S99" s="1">
        <f t="shared" si="107"/>
        <v>92.602000000000004</v>
      </c>
      <c r="T99" s="1">
        <f t="shared" si="107"/>
        <v>92.602000000000004</v>
      </c>
      <c r="U99" s="1">
        <f t="shared" si="107"/>
        <v>92.602000000000004</v>
      </c>
      <c r="X99" s="2"/>
      <c r="Y99" s="2">
        <v>0</v>
      </c>
      <c r="Z99" s="2">
        <v>0</v>
      </c>
      <c r="AA99" s="2">
        <v>0</v>
      </c>
      <c r="AB99" s="2">
        <v>92.602000000000004</v>
      </c>
      <c r="AC99" s="2">
        <v>92.602000000000004</v>
      </c>
      <c r="AD99" s="2">
        <v>92.602000000000004</v>
      </c>
    </row>
    <row r="100" spans="3:30">
      <c r="C100" s="1" t="s">
        <v>87</v>
      </c>
      <c r="F100" s="2">
        <v>19.219000000000001</v>
      </c>
      <c r="G100" s="2">
        <v>14.954000000000001</v>
      </c>
      <c r="H100" s="2">
        <v>10.619</v>
      </c>
      <c r="I100" s="2">
        <v>51.816000000000003</v>
      </c>
      <c r="J100" s="2">
        <v>111.864</v>
      </c>
      <c r="K100" s="1">
        <f>K131</f>
        <v>118.34334275127375</v>
      </c>
      <c r="L100" s="1">
        <f t="shared" ref="L100:U100" si="108">L131</f>
        <v>122.30189905583359</v>
      </c>
      <c r="M100" s="1">
        <f t="shared" si="108"/>
        <v>124.72038016077127</v>
      </c>
      <c r="N100" s="1">
        <f t="shared" si="108"/>
        <v>126.19795188261418</v>
      </c>
      <c r="O100" s="1">
        <f t="shared" si="108"/>
        <v>127.1006747481071</v>
      </c>
      <c r="P100" s="1">
        <f t="shared" si="108"/>
        <v>127.6521935406212</v>
      </c>
      <c r="Q100" s="1">
        <f t="shared" si="108"/>
        <v>127.98914410443581</v>
      </c>
      <c r="R100" s="1">
        <f t="shared" si="108"/>
        <v>128.19500414764019</v>
      </c>
      <c r="S100" s="1">
        <f t="shared" si="108"/>
        <v>128.32077439983493</v>
      </c>
      <c r="T100" s="1">
        <f t="shared" si="108"/>
        <v>128.39761377133655</v>
      </c>
      <c r="U100" s="1">
        <f t="shared" si="108"/>
        <v>128.4445588073028</v>
      </c>
      <c r="X100" s="2"/>
      <c r="Y100" s="2">
        <v>10.619</v>
      </c>
      <c r="Z100" s="2">
        <v>31.876000000000001</v>
      </c>
      <c r="AA100" s="2">
        <v>51.816000000000003</v>
      </c>
      <c r="AB100" s="2">
        <v>144.65899999999999</v>
      </c>
      <c r="AC100" s="2">
        <v>111.864</v>
      </c>
      <c r="AD100" s="2">
        <v>103.015</v>
      </c>
    </row>
    <row r="101" spans="3:30">
      <c r="C101" s="1" t="s">
        <v>88</v>
      </c>
      <c r="F101" s="2">
        <v>0</v>
      </c>
      <c r="G101" s="2">
        <v>0</v>
      </c>
      <c r="H101" s="2">
        <v>4.4820000000000002</v>
      </c>
      <c r="I101" s="2">
        <f>34.531+65.331</f>
        <v>99.861999999999995</v>
      </c>
      <c r="J101" s="2">
        <f>169.417+56.741</f>
        <v>226.15800000000002</v>
      </c>
      <c r="K101" s="1">
        <f>J101</f>
        <v>226.15800000000002</v>
      </c>
      <c r="L101" s="1">
        <f t="shared" ref="L101:U106" si="109">K101</f>
        <v>226.15800000000002</v>
      </c>
      <c r="M101" s="1">
        <f t="shared" si="109"/>
        <v>226.15800000000002</v>
      </c>
      <c r="N101" s="1">
        <f t="shared" si="109"/>
        <v>226.15800000000002</v>
      </c>
      <c r="O101" s="1">
        <f t="shared" si="109"/>
        <v>226.15800000000002</v>
      </c>
      <c r="P101" s="1">
        <f t="shared" si="109"/>
        <v>226.15800000000002</v>
      </c>
      <c r="Q101" s="1">
        <f t="shared" si="109"/>
        <v>226.15800000000002</v>
      </c>
      <c r="R101" s="1">
        <f t="shared" si="109"/>
        <v>226.15800000000002</v>
      </c>
      <c r="S101" s="1">
        <f t="shared" si="109"/>
        <v>226.15800000000002</v>
      </c>
      <c r="T101" s="1">
        <f t="shared" si="109"/>
        <v>226.15800000000002</v>
      </c>
      <c r="U101" s="1">
        <f t="shared" si="109"/>
        <v>226.15800000000002</v>
      </c>
      <c r="X101" s="2"/>
      <c r="Y101" s="2">
        <v>4.4820000000000002</v>
      </c>
      <c r="Z101" s="2">
        <v>9.6869999999999994</v>
      </c>
      <c r="AA101" s="2">
        <f>34.531+65.331</f>
        <v>99.861999999999995</v>
      </c>
      <c r="AB101" s="2">
        <f>115.984+61.792</f>
        <v>177.77600000000001</v>
      </c>
      <c r="AC101" s="2">
        <f>169.417+56.741</f>
        <v>226.15800000000002</v>
      </c>
      <c r="AD101" s="2">
        <f>214.869+53.535</f>
        <v>268.404</v>
      </c>
    </row>
    <row r="102" spans="3:30">
      <c r="C102" s="18" t="s">
        <v>89</v>
      </c>
      <c r="F102" s="2">
        <v>305.31900000000002</v>
      </c>
      <c r="G102" s="2">
        <v>410.51799999999997</v>
      </c>
      <c r="H102" s="2">
        <v>0</v>
      </c>
      <c r="I102" s="2">
        <v>0</v>
      </c>
      <c r="J102" s="2">
        <v>0</v>
      </c>
      <c r="K102" s="1">
        <f>J102</f>
        <v>0</v>
      </c>
      <c r="L102" s="1">
        <f t="shared" si="109"/>
        <v>0</v>
      </c>
      <c r="M102" s="1">
        <f t="shared" si="109"/>
        <v>0</v>
      </c>
      <c r="N102" s="1">
        <f t="shared" si="109"/>
        <v>0</v>
      </c>
      <c r="O102" s="1">
        <f t="shared" si="109"/>
        <v>0</v>
      </c>
      <c r="P102" s="1">
        <f t="shared" si="109"/>
        <v>0</v>
      </c>
      <c r="Q102" s="1">
        <f t="shared" si="109"/>
        <v>0</v>
      </c>
      <c r="R102" s="1">
        <f t="shared" si="109"/>
        <v>0</v>
      </c>
      <c r="S102" s="1">
        <f t="shared" si="109"/>
        <v>0</v>
      </c>
      <c r="T102" s="1">
        <f t="shared" si="109"/>
        <v>0</v>
      </c>
      <c r="U102" s="1">
        <f t="shared" si="109"/>
        <v>0</v>
      </c>
      <c r="X102" s="2"/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</row>
    <row r="103" spans="3:30">
      <c r="C103" s="1" t="s">
        <v>90</v>
      </c>
      <c r="F103" s="2">
        <v>6.4939999999999998</v>
      </c>
      <c r="G103" s="2">
        <v>6.9370000000000003</v>
      </c>
      <c r="H103" s="2">
        <v>0</v>
      </c>
      <c r="I103" s="2">
        <v>12.585000000000001</v>
      </c>
      <c r="J103" s="2">
        <v>44.267000000000003</v>
      </c>
      <c r="K103" s="1">
        <f>J103</f>
        <v>44.267000000000003</v>
      </c>
      <c r="L103" s="1">
        <f t="shared" si="109"/>
        <v>44.267000000000003</v>
      </c>
      <c r="M103" s="1">
        <f t="shared" si="109"/>
        <v>44.267000000000003</v>
      </c>
      <c r="N103" s="1">
        <f t="shared" si="109"/>
        <v>44.267000000000003</v>
      </c>
      <c r="O103" s="1">
        <f t="shared" si="109"/>
        <v>44.267000000000003</v>
      </c>
      <c r="P103" s="1">
        <f t="shared" si="109"/>
        <v>44.267000000000003</v>
      </c>
      <c r="Q103" s="1">
        <f t="shared" si="109"/>
        <v>44.267000000000003</v>
      </c>
      <c r="R103" s="1">
        <f t="shared" si="109"/>
        <v>44.267000000000003</v>
      </c>
      <c r="S103" s="1">
        <f t="shared" si="109"/>
        <v>44.267000000000003</v>
      </c>
      <c r="T103" s="1">
        <f t="shared" si="109"/>
        <v>44.267000000000003</v>
      </c>
      <c r="U103" s="1">
        <f t="shared" si="109"/>
        <v>44.267000000000003</v>
      </c>
      <c r="X103" s="2"/>
      <c r="Y103" s="2">
        <v>0</v>
      </c>
      <c r="Z103" s="2">
        <v>12.585000000000001</v>
      </c>
      <c r="AA103" s="2">
        <v>12.585000000000001</v>
      </c>
      <c r="AB103" s="2">
        <v>33.177999999999997</v>
      </c>
      <c r="AC103" s="2">
        <v>44.267000000000003</v>
      </c>
      <c r="AD103" s="2">
        <v>23.678999999999998</v>
      </c>
    </row>
    <row r="104" spans="3:30">
      <c r="C104" s="1" t="s">
        <v>91</v>
      </c>
      <c r="F104" s="2">
        <v>0</v>
      </c>
      <c r="G104" s="2">
        <v>0</v>
      </c>
      <c r="H104" s="2">
        <v>0</v>
      </c>
      <c r="I104" s="2">
        <v>0</v>
      </c>
      <c r="J104" s="2">
        <v>48.832999999999998</v>
      </c>
      <c r="K104" s="1">
        <f>J104</f>
        <v>48.832999999999998</v>
      </c>
      <c r="L104" s="1">
        <f t="shared" si="109"/>
        <v>48.832999999999998</v>
      </c>
      <c r="M104" s="1">
        <f t="shared" si="109"/>
        <v>48.832999999999998</v>
      </c>
      <c r="N104" s="1">
        <f t="shared" si="109"/>
        <v>48.832999999999998</v>
      </c>
      <c r="O104" s="1">
        <f t="shared" si="109"/>
        <v>48.832999999999998</v>
      </c>
      <c r="P104" s="1">
        <f t="shared" si="109"/>
        <v>48.832999999999998</v>
      </c>
      <c r="Q104" s="1">
        <f t="shared" si="109"/>
        <v>48.832999999999998</v>
      </c>
      <c r="R104" s="1">
        <f t="shared" si="109"/>
        <v>48.832999999999998</v>
      </c>
      <c r="S104" s="1">
        <f t="shared" si="109"/>
        <v>48.832999999999998</v>
      </c>
      <c r="T104" s="1">
        <f t="shared" si="109"/>
        <v>48.832999999999998</v>
      </c>
      <c r="U104" s="1">
        <f t="shared" si="109"/>
        <v>48.832999999999998</v>
      </c>
      <c r="X104" s="2"/>
      <c r="Y104" s="2">
        <v>0</v>
      </c>
      <c r="Z104" s="2">
        <v>0</v>
      </c>
      <c r="AA104" s="2">
        <v>0</v>
      </c>
      <c r="AB104" s="2">
        <v>0</v>
      </c>
      <c r="AC104" s="2">
        <v>48.832999999999998</v>
      </c>
      <c r="AD104" s="2">
        <v>49.557000000000002</v>
      </c>
    </row>
    <row r="105" spans="3:30">
      <c r="C105" s="18" t="s">
        <v>92</v>
      </c>
      <c r="F105" s="2">
        <v>42.177</v>
      </c>
      <c r="G105" s="2">
        <v>49</v>
      </c>
      <c r="H105" s="2">
        <v>52.753999999999998</v>
      </c>
      <c r="I105" s="2">
        <v>91.626000000000005</v>
      </c>
      <c r="J105" s="2">
        <v>170.16900000000001</v>
      </c>
      <c r="K105" s="1">
        <f>J105</f>
        <v>170.16900000000001</v>
      </c>
      <c r="L105" s="1">
        <f t="shared" si="109"/>
        <v>170.16900000000001</v>
      </c>
      <c r="M105" s="1">
        <f t="shared" si="109"/>
        <v>170.16900000000001</v>
      </c>
      <c r="N105" s="1">
        <f t="shared" si="109"/>
        <v>170.16900000000001</v>
      </c>
      <c r="O105" s="1">
        <f t="shared" si="109"/>
        <v>170.16900000000001</v>
      </c>
      <c r="P105" s="1">
        <f t="shared" si="109"/>
        <v>170.16900000000001</v>
      </c>
      <c r="Q105" s="1">
        <f t="shared" si="109"/>
        <v>170.16900000000001</v>
      </c>
      <c r="R105" s="1">
        <f t="shared" si="109"/>
        <v>170.16900000000001</v>
      </c>
      <c r="S105" s="1">
        <f t="shared" si="109"/>
        <v>170.16900000000001</v>
      </c>
      <c r="T105" s="1">
        <f t="shared" si="109"/>
        <v>170.16900000000001</v>
      </c>
      <c r="U105" s="1">
        <f t="shared" si="109"/>
        <v>170.16900000000001</v>
      </c>
      <c r="X105" s="2"/>
      <c r="Y105" s="2">
        <v>52.753999999999998</v>
      </c>
      <c r="Z105" s="2">
        <v>67.42</v>
      </c>
      <c r="AA105" s="2">
        <v>91.626000000000005</v>
      </c>
      <c r="AB105" s="2">
        <v>155.58799999999999</v>
      </c>
      <c r="AC105" s="2">
        <v>170.16900000000001</v>
      </c>
      <c r="AD105" s="2">
        <v>216.405</v>
      </c>
    </row>
    <row r="106" spans="3:30">
      <c r="C106" s="1" t="s">
        <v>93</v>
      </c>
      <c r="F106" s="2">
        <v>0</v>
      </c>
      <c r="G106" s="2">
        <v>0</v>
      </c>
      <c r="H106" s="2">
        <v>0</v>
      </c>
      <c r="I106" s="2">
        <v>1720.2159999999999</v>
      </c>
      <c r="J106" s="2">
        <v>0</v>
      </c>
      <c r="K106" s="1">
        <f>J106</f>
        <v>0</v>
      </c>
      <c r="L106" s="1">
        <f t="shared" si="109"/>
        <v>0</v>
      </c>
      <c r="M106" s="1">
        <f t="shared" si="109"/>
        <v>0</v>
      </c>
      <c r="N106" s="1">
        <f t="shared" si="109"/>
        <v>0</v>
      </c>
      <c r="O106" s="1">
        <f t="shared" si="109"/>
        <v>0</v>
      </c>
      <c r="P106" s="1">
        <f t="shared" si="109"/>
        <v>0</v>
      </c>
      <c r="Q106" s="1">
        <f t="shared" si="109"/>
        <v>0</v>
      </c>
      <c r="R106" s="1">
        <f t="shared" si="109"/>
        <v>0</v>
      </c>
      <c r="S106" s="1">
        <f t="shared" si="109"/>
        <v>0</v>
      </c>
      <c r="T106" s="1">
        <f t="shared" si="109"/>
        <v>0</v>
      </c>
      <c r="U106" s="1">
        <f t="shared" si="109"/>
        <v>0</v>
      </c>
      <c r="X106" s="2"/>
      <c r="Y106" s="2">
        <v>0</v>
      </c>
      <c r="Z106" s="2">
        <v>0</v>
      </c>
      <c r="AA106" s="2">
        <v>1720.2159999999999</v>
      </c>
      <c r="AB106" s="2">
        <v>0</v>
      </c>
      <c r="AC106" s="2">
        <v>0</v>
      </c>
      <c r="AD106" s="2">
        <v>0</v>
      </c>
    </row>
    <row r="107" spans="3:30">
      <c r="C107" s="18" t="s">
        <v>94</v>
      </c>
      <c r="F107" s="2">
        <v>52.719000000000001</v>
      </c>
      <c r="G107" s="2">
        <v>68.397999999999996</v>
      </c>
      <c r="H107" s="2">
        <v>120.848</v>
      </c>
      <c r="I107" s="2">
        <v>232.749</v>
      </c>
      <c r="J107" s="2">
        <v>269.26900000000001</v>
      </c>
      <c r="K107" s="1">
        <f>K108*K287</f>
        <v>391.98273697916665</v>
      </c>
      <c r="L107" s="1">
        <f t="shared" ref="L107:U107" si="110">L108*L287</f>
        <v>532.22700781250001</v>
      </c>
      <c r="M107" s="1">
        <f t="shared" si="110"/>
        <v>672.47127864583331</v>
      </c>
      <c r="N107" s="1">
        <f t="shared" si="110"/>
        <v>777.65448177083329</v>
      </c>
      <c r="O107" s="1">
        <f t="shared" si="110"/>
        <v>882.83768489583326</v>
      </c>
      <c r="P107" s="1">
        <f t="shared" si="110"/>
        <v>988.02088802083335</v>
      </c>
      <c r="Q107" s="1">
        <f t="shared" si="110"/>
        <v>1093.2040911458332</v>
      </c>
      <c r="R107" s="1">
        <f t="shared" si="110"/>
        <v>1163.3262265624999</v>
      </c>
      <c r="S107" s="1">
        <f t="shared" si="110"/>
        <v>1233.4483619791665</v>
      </c>
      <c r="T107" s="1">
        <f t="shared" si="110"/>
        <v>1303.5704973958334</v>
      </c>
      <c r="U107" s="1">
        <f t="shared" si="110"/>
        <v>1373.6926328125001</v>
      </c>
      <c r="X107" s="2"/>
      <c r="Y107" s="2">
        <v>120.848</v>
      </c>
      <c r="Z107" s="2">
        <v>163.96199999999999</v>
      </c>
      <c r="AA107" s="2">
        <v>232.749</v>
      </c>
      <c r="AB107" s="2">
        <v>229.72900000000001</v>
      </c>
      <c r="AC107" s="2">
        <v>269.26900000000001</v>
      </c>
      <c r="AD107" s="2">
        <v>301.26600000000002</v>
      </c>
    </row>
    <row r="108" spans="3:30" s="10" customFormat="1">
      <c r="D108" s="10" t="s">
        <v>95</v>
      </c>
      <c r="F108" s="15">
        <f t="shared" ref="F108:I108" si="111">F107/F287</f>
        <v>0.36108904109589041</v>
      </c>
      <c r="G108" s="15">
        <f t="shared" si="111"/>
        <v>0.388625</v>
      </c>
      <c r="H108" s="15">
        <f t="shared" si="111"/>
        <v>0.44266666666666665</v>
      </c>
      <c r="I108" s="15">
        <f t="shared" si="111"/>
        <v>0.49946137339055791</v>
      </c>
      <c r="J108" s="15">
        <f>J107/J287</f>
        <v>0.35061067708333332</v>
      </c>
      <c r="K108" s="16">
        <f>J108</f>
        <v>0.35061067708333332</v>
      </c>
      <c r="L108" s="16">
        <f t="shared" ref="L108:U109" si="112">K108</f>
        <v>0.35061067708333332</v>
      </c>
      <c r="M108" s="16">
        <f t="shared" si="112"/>
        <v>0.35061067708333332</v>
      </c>
      <c r="N108" s="16">
        <f t="shared" si="112"/>
        <v>0.35061067708333332</v>
      </c>
      <c r="O108" s="16">
        <f t="shared" si="112"/>
        <v>0.35061067708333332</v>
      </c>
      <c r="P108" s="16">
        <f t="shared" si="112"/>
        <v>0.35061067708333332</v>
      </c>
      <c r="Q108" s="16">
        <f t="shared" si="112"/>
        <v>0.35061067708333332</v>
      </c>
      <c r="R108" s="16">
        <f t="shared" si="112"/>
        <v>0.35061067708333332</v>
      </c>
      <c r="S108" s="16">
        <f t="shared" si="112"/>
        <v>0.35061067708333332</v>
      </c>
      <c r="T108" s="16">
        <f t="shared" si="112"/>
        <v>0.35061067708333332</v>
      </c>
      <c r="U108" s="16">
        <f t="shared" si="112"/>
        <v>0.35061067708333332</v>
      </c>
    </row>
    <row r="109" spans="3:30">
      <c r="C109" s="1" t="s">
        <v>96</v>
      </c>
      <c r="F109" s="2">
        <v>0</v>
      </c>
      <c r="G109" s="2">
        <v>0</v>
      </c>
      <c r="H109" s="2">
        <v>0</v>
      </c>
      <c r="I109" s="2">
        <v>0</v>
      </c>
      <c r="J109" s="2">
        <v>5.0599999999999996</v>
      </c>
      <c r="K109" s="1">
        <f>J109</f>
        <v>5.0599999999999996</v>
      </c>
      <c r="L109" s="1">
        <f t="shared" si="112"/>
        <v>5.0599999999999996</v>
      </c>
      <c r="M109" s="1">
        <f t="shared" si="112"/>
        <v>5.0599999999999996</v>
      </c>
      <c r="N109" s="1">
        <f t="shared" si="112"/>
        <v>5.0599999999999996</v>
      </c>
      <c r="O109" s="1">
        <f t="shared" si="112"/>
        <v>5.0599999999999996</v>
      </c>
      <c r="P109" s="1">
        <f t="shared" si="112"/>
        <v>5.0599999999999996</v>
      </c>
      <c r="Q109" s="1">
        <f t="shared" si="112"/>
        <v>5.0599999999999996</v>
      </c>
      <c r="R109" s="1">
        <f t="shared" si="112"/>
        <v>5.0599999999999996</v>
      </c>
      <c r="S109" s="1">
        <f t="shared" si="112"/>
        <v>5.0599999999999996</v>
      </c>
      <c r="T109" s="1">
        <f t="shared" si="112"/>
        <v>5.0599999999999996</v>
      </c>
      <c r="U109" s="1">
        <f t="shared" si="112"/>
        <v>5.0599999999999996</v>
      </c>
      <c r="X109" s="2"/>
      <c r="Y109" s="2">
        <v>0</v>
      </c>
      <c r="Z109" s="2">
        <v>0</v>
      </c>
      <c r="AA109" s="2">
        <v>0</v>
      </c>
      <c r="AB109" s="2">
        <v>145.595</v>
      </c>
      <c r="AC109" s="2">
        <v>5.0599999999999996</v>
      </c>
      <c r="AD109" s="2">
        <v>5.0599999999999996</v>
      </c>
    </row>
    <row r="111" spans="3:30" s="19" customFormat="1">
      <c r="C111" s="19" t="s">
        <v>97</v>
      </c>
    </row>
    <row r="112" spans="3:30" outlineLevel="1">
      <c r="C112" s="1" t="s">
        <v>98</v>
      </c>
      <c r="F112" s="2">
        <f>1091.336-446.127</f>
        <v>645.20900000000006</v>
      </c>
      <c r="G112" s="1">
        <f t="shared" ref="G112:I112" si="113">F120</f>
        <v>796.62800000000004</v>
      </c>
      <c r="H112" s="1">
        <f t="shared" si="113"/>
        <v>943.04100000000005</v>
      </c>
      <c r="I112" s="1">
        <f t="shared" si="113"/>
        <v>2085.4279999999999</v>
      </c>
      <c r="J112" s="1">
        <f>I120</f>
        <v>3999.8029999999999</v>
      </c>
      <c r="K112" s="1">
        <f t="shared" ref="K112:U112" si="114">J120</f>
        <v>7689.58</v>
      </c>
      <c r="L112" s="1">
        <f t="shared" si="114"/>
        <v>11768.156974160705</v>
      </c>
      <c r="M112" s="1">
        <f t="shared" si="114"/>
        <v>16918.0073348855</v>
      </c>
      <c r="N112" s="1">
        <f t="shared" si="114"/>
        <v>22854.540134573515</v>
      </c>
      <c r="O112" s="1">
        <f t="shared" si="114"/>
        <v>28758.71605109216</v>
      </c>
      <c r="P112" s="1">
        <f t="shared" si="114"/>
        <v>35102.853787800617</v>
      </c>
      <c r="Q112" s="1">
        <f t="shared" si="114"/>
        <v>41950.958944997124</v>
      </c>
      <c r="R112" s="1">
        <f t="shared" si="114"/>
        <v>49361.618424762491</v>
      </c>
      <c r="S112" s="1">
        <f t="shared" si="114"/>
        <v>56590.603264213081</v>
      </c>
      <c r="T112" s="1">
        <f t="shared" si="114"/>
        <v>64037.333736237371</v>
      </c>
      <c r="U112" s="1">
        <f t="shared" si="114"/>
        <v>71827.202973666601</v>
      </c>
    </row>
    <row r="113" spans="3:21" outlineLevel="1">
      <c r="C113" s="1" t="s">
        <v>99</v>
      </c>
      <c r="F113" s="1">
        <f t="shared" ref="F113:I113" si="115">-F215</f>
        <v>399.92500000000001</v>
      </c>
      <c r="G113" s="1">
        <f t="shared" si="115"/>
        <v>429.46600000000001</v>
      </c>
      <c r="H113" s="1">
        <f t="shared" si="115"/>
        <v>1242.904</v>
      </c>
      <c r="I113" s="1">
        <f t="shared" si="115"/>
        <v>2508.2629999999999</v>
      </c>
      <c r="J113" s="1">
        <f>-J215</f>
        <v>4880.8069999999998</v>
      </c>
      <c r="K113" s="1">
        <f>K114+K115</f>
        <v>6449.2316841201718</v>
      </c>
      <c r="L113" s="1">
        <f t="shared" ref="L113:U113" si="116">L114+L115</f>
        <v>8777.9076484227462</v>
      </c>
      <c r="M113" s="1">
        <f t="shared" si="116"/>
        <v>11152.260286959765</v>
      </c>
      <c r="N113" s="1">
        <f t="shared" si="116"/>
        <v>12950.103420229425</v>
      </c>
      <c r="O113" s="1">
        <f t="shared" si="116"/>
        <v>15210.289809891716</v>
      </c>
      <c r="P113" s="1">
        <f t="shared" si="116"/>
        <v>17670.119579969658</v>
      </c>
      <c r="Q113" s="1">
        <f t="shared" si="116"/>
        <v>20343.906602530671</v>
      </c>
      <c r="R113" s="1">
        <f t="shared" si="116"/>
        <v>22446.897028397856</v>
      </c>
      <c r="S113" s="1">
        <f t="shared" si="116"/>
        <v>24893.298446836208</v>
      </c>
      <c r="T113" s="1">
        <f t="shared" si="116"/>
        <v>27532.222764547398</v>
      </c>
      <c r="U113" s="1">
        <f t="shared" si="116"/>
        <v>30376.806267912616</v>
      </c>
    </row>
    <row r="114" spans="3:21" outlineLevel="1">
      <c r="D114" s="1" t="s">
        <v>100</v>
      </c>
      <c r="F114" s="3">
        <f t="shared" ref="F114:I114" si="117">F273*9</f>
        <v>324</v>
      </c>
      <c r="G114" s="3">
        <f t="shared" si="117"/>
        <v>288</v>
      </c>
      <c r="H114" s="3">
        <f t="shared" si="117"/>
        <v>882</v>
      </c>
      <c r="I114" s="3">
        <f t="shared" si="117"/>
        <v>1800</v>
      </c>
      <c r="J114" s="3">
        <f>J273*9</f>
        <v>2772</v>
      </c>
      <c r="K114" s="3">
        <f>K273*8</f>
        <v>2800</v>
      </c>
      <c r="L114" s="3">
        <f t="shared" ref="L114:U114" si="118">L273*8</f>
        <v>3200</v>
      </c>
      <c r="M114" s="3">
        <f t="shared" si="118"/>
        <v>3200</v>
      </c>
      <c r="N114" s="3">
        <f t="shared" si="118"/>
        <v>2400</v>
      </c>
      <c r="O114" s="3">
        <f t="shared" si="118"/>
        <v>2400</v>
      </c>
      <c r="P114" s="3">
        <f>P273*8</f>
        <v>2400</v>
      </c>
      <c r="Q114" s="3">
        <f t="shared" si="118"/>
        <v>2400</v>
      </c>
      <c r="R114" s="3">
        <f t="shared" si="118"/>
        <v>1600</v>
      </c>
      <c r="S114" s="3">
        <f t="shared" si="118"/>
        <v>1600</v>
      </c>
      <c r="T114" s="3">
        <f>T273*8</f>
        <v>1600</v>
      </c>
      <c r="U114" s="3">
        <f t="shared" si="118"/>
        <v>1600</v>
      </c>
    </row>
    <row r="115" spans="3:21" outlineLevel="1">
      <c r="D115" s="1" t="s">
        <v>101</v>
      </c>
      <c r="F115" s="1">
        <f>F113-F114</f>
        <v>75.925000000000011</v>
      </c>
      <c r="G115" s="1">
        <f t="shared" ref="G115:J115" si="119">G113-G114</f>
        <v>141.46600000000001</v>
      </c>
      <c r="H115" s="1">
        <f t="shared" si="119"/>
        <v>360.904</v>
      </c>
      <c r="I115" s="1">
        <f t="shared" si="119"/>
        <v>708.26299999999992</v>
      </c>
      <c r="J115" s="1">
        <f t="shared" si="119"/>
        <v>2108.8069999999998</v>
      </c>
      <c r="K115" s="1">
        <f>K116*K272</f>
        <v>3649.2316841201714</v>
      </c>
      <c r="L115" s="1">
        <f t="shared" ref="L115:U115" si="120">L116*L272</f>
        <v>5577.9076484227462</v>
      </c>
      <c r="M115" s="1">
        <f t="shared" si="120"/>
        <v>7952.260286959764</v>
      </c>
      <c r="N115" s="1">
        <f t="shared" si="120"/>
        <v>10550.103420229425</v>
      </c>
      <c r="O115" s="1">
        <f t="shared" si="120"/>
        <v>12810.289809891716</v>
      </c>
      <c r="P115" s="1">
        <f t="shared" si="120"/>
        <v>15270.11957996966</v>
      </c>
      <c r="Q115" s="1">
        <f t="shared" si="120"/>
        <v>17943.906602530671</v>
      </c>
      <c r="R115" s="1">
        <f t="shared" si="120"/>
        <v>20846.897028397856</v>
      </c>
      <c r="S115" s="1">
        <f t="shared" si="120"/>
        <v>23293.298446836208</v>
      </c>
      <c r="T115" s="1">
        <f t="shared" si="120"/>
        <v>25932.222764547398</v>
      </c>
      <c r="U115" s="1">
        <f t="shared" si="120"/>
        <v>28776.806267912616</v>
      </c>
    </row>
    <row r="116" spans="3:21" s="10" customFormat="1" outlineLevel="1">
      <c r="E116" s="10" t="s">
        <v>102</v>
      </c>
      <c r="F116" s="15">
        <f t="shared" ref="F116:I116" si="121">F115/F272</f>
        <v>0.67790178571428583</v>
      </c>
      <c r="G116" s="15">
        <f t="shared" si="121"/>
        <v>0.96894520547945207</v>
      </c>
      <c r="H116" s="15">
        <f t="shared" si="121"/>
        <v>2.0505909090909089</v>
      </c>
      <c r="I116" s="15">
        <f t="shared" si="121"/>
        <v>2.5943699633699633</v>
      </c>
      <c r="J116" s="15">
        <f>J115/J272</f>
        <v>4.5253369098712444</v>
      </c>
      <c r="K116" s="16">
        <f>J116*(1+5%)</f>
        <v>4.7516037553648065</v>
      </c>
      <c r="L116" s="16">
        <f t="shared" ref="L116:U116" si="122">K116*(1+5%)</f>
        <v>4.9891839431330469</v>
      </c>
      <c r="M116" s="16">
        <f t="shared" si="122"/>
        <v>5.2386431402896996</v>
      </c>
      <c r="N116" s="16">
        <f t="shared" si="122"/>
        <v>5.5005752973041844</v>
      </c>
      <c r="O116" s="16">
        <f t="shared" si="122"/>
        <v>5.7756040621693936</v>
      </c>
      <c r="P116" s="16">
        <f t="shared" si="122"/>
        <v>6.0643842652778632</v>
      </c>
      <c r="Q116" s="16">
        <f t="shared" si="122"/>
        <v>6.3676034785417563</v>
      </c>
      <c r="R116" s="16">
        <f t="shared" si="122"/>
        <v>6.6859836524688445</v>
      </c>
      <c r="S116" s="16">
        <f t="shared" si="122"/>
        <v>7.0202828350922868</v>
      </c>
      <c r="T116" s="16">
        <f t="shared" si="122"/>
        <v>7.3712969768469012</v>
      </c>
      <c r="U116" s="16">
        <f t="shared" si="122"/>
        <v>7.7398618256892462</v>
      </c>
    </row>
    <row r="117" spans="3:21" outlineLevel="1">
      <c r="C117" s="1" t="s">
        <v>54</v>
      </c>
      <c r="F117" s="20">
        <f t="shared" ref="F117:I117" si="123">-F204</f>
        <v>-236.04900000000001</v>
      </c>
      <c r="G117" s="20">
        <f t="shared" si="123"/>
        <v>-281.39499999999998</v>
      </c>
      <c r="H117" s="20">
        <f t="shared" si="123"/>
        <v>-355.37700000000001</v>
      </c>
      <c r="I117" s="20">
        <f t="shared" si="123"/>
        <v>-679.59</v>
      </c>
      <c r="J117" s="20">
        <f>-J204</f>
        <v>-1233.117</v>
      </c>
      <c r="K117" s="20">
        <f>K112/K118</f>
        <v>-2370.6547099594654</v>
      </c>
      <c r="L117" s="20">
        <f t="shared" ref="L117:U117" si="124">L112/L118</f>
        <v>-3628.0572876979504</v>
      </c>
      <c r="M117" s="20">
        <f t="shared" si="124"/>
        <v>-5215.7274872717489</v>
      </c>
      <c r="N117" s="20">
        <f t="shared" si="124"/>
        <v>-7045.92750371078</v>
      </c>
      <c r="O117" s="20">
        <f t="shared" si="124"/>
        <v>-8866.152073183257</v>
      </c>
      <c r="P117" s="20">
        <f t="shared" si="124"/>
        <v>-10822.014422773154</v>
      </c>
      <c r="Q117" s="20">
        <f t="shared" si="124"/>
        <v>-12933.2471227653</v>
      </c>
      <c r="R117" s="20">
        <f t="shared" si="124"/>
        <v>-15217.912188947266</v>
      </c>
      <c r="S117" s="20">
        <f t="shared" si="124"/>
        <v>-17446.567974811918</v>
      </c>
      <c r="T117" s="20">
        <f t="shared" si="124"/>
        <v>-19742.353527118164</v>
      </c>
      <c r="U117" s="20">
        <f t="shared" si="124"/>
        <v>-22143.926850717107</v>
      </c>
    </row>
    <row r="118" spans="3:21" s="21" customFormat="1" outlineLevel="1">
      <c r="C118" s="21" t="s">
        <v>103</v>
      </c>
      <c r="F118" s="22">
        <f t="shared" ref="F118:H118" si="125">F112/F117</f>
        <v>-2.733368919165089</v>
      </c>
      <c r="G118" s="22">
        <f t="shared" si="125"/>
        <v>-2.8309955756143501</v>
      </c>
      <c r="H118" s="22">
        <f t="shared" si="125"/>
        <v>-2.6536354350450368</v>
      </c>
      <c r="I118" s="22">
        <f>I112/I117</f>
        <v>-3.0686561014729468</v>
      </c>
      <c r="J118" s="22">
        <f>J112/J117</f>
        <v>-3.243652467689603</v>
      </c>
      <c r="K118" s="23">
        <f>J118</f>
        <v>-3.243652467689603</v>
      </c>
      <c r="L118" s="23">
        <f t="shared" ref="L118:U118" si="126">K118</f>
        <v>-3.243652467689603</v>
      </c>
      <c r="M118" s="23">
        <f t="shared" si="126"/>
        <v>-3.243652467689603</v>
      </c>
      <c r="N118" s="23">
        <f t="shared" si="126"/>
        <v>-3.243652467689603</v>
      </c>
      <c r="O118" s="23">
        <f t="shared" si="126"/>
        <v>-3.243652467689603</v>
      </c>
      <c r="P118" s="23">
        <f t="shared" si="126"/>
        <v>-3.243652467689603</v>
      </c>
      <c r="Q118" s="23">
        <f t="shared" si="126"/>
        <v>-3.243652467689603</v>
      </c>
      <c r="R118" s="23">
        <f t="shared" si="126"/>
        <v>-3.243652467689603</v>
      </c>
      <c r="S118" s="23">
        <f t="shared" si="126"/>
        <v>-3.243652467689603</v>
      </c>
      <c r="T118" s="23">
        <f t="shared" si="126"/>
        <v>-3.243652467689603</v>
      </c>
      <c r="U118" s="23">
        <f t="shared" si="126"/>
        <v>-3.243652467689603</v>
      </c>
    </row>
    <row r="119" spans="3:21" outlineLevel="1">
      <c r="C119" s="1" t="s">
        <v>104</v>
      </c>
      <c r="F119" s="1">
        <f t="shared" ref="F119:I119" si="127">F112+F113+F117</f>
        <v>809.08500000000004</v>
      </c>
      <c r="G119" s="1">
        <f t="shared" si="127"/>
        <v>944.69900000000007</v>
      </c>
      <c r="H119" s="1">
        <f t="shared" si="127"/>
        <v>1830.5680000000002</v>
      </c>
      <c r="I119" s="1">
        <f t="shared" si="127"/>
        <v>3914.1009999999997</v>
      </c>
      <c r="J119" s="1">
        <f>J112+J113+J117</f>
        <v>7647.4930000000004</v>
      </c>
      <c r="K119" s="1">
        <f>K112+K113+K117</f>
        <v>11768.156974160705</v>
      </c>
      <c r="L119" s="1">
        <f t="shared" ref="L119:U119" si="128">L112+L113+L117</f>
        <v>16918.0073348855</v>
      </c>
      <c r="M119" s="1">
        <f t="shared" si="128"/>
        <v>22854.540134573515</v>
      </c>
      <c r="N119" s="1">
        <f t="shared" si="128"/>
        <v>28758.71605109216</v>
      </c>
      <c r="O119" s="1">
        <f t="shared" si="128"/>
        <v>35102.853787800617</v>
      </c>
      <c r="P119" s="1">
        <f t="shared" si="128"/>
        <v>41950.958944997124</v>
      </c>
      <c r="Q119" s="1">
        <f t="shared" si="128"/>
        <v>49361.618424762491</v>
      </c>
      <c r="R119" s="1">
        <f t="shared" si="128"/>
        <v>56590.603264213081</v>
      </c>
      <c r="S119" s="1">
        <f t="shared" si="128"/>
        <v>64037.333736237371</v>
      </c>
      <c r="T119" s="1">
        <f t="shared" si="128"/>
        <v>71827.202973666601</v>
      </c>
      <c r="U119" s="1">
        <f t="shared" si="128"/>
        <v>80060.08239086211</v>
      </c>
    </row>
    <row r="120" spans="3:21" outlineLevel="1">
      <c r="C120" s="1" t="s">
        <v>105</v>
      </c>
      <c r="F120" s="1">
        <f t="shared" ref="F120:I120" si="129">F97</f>
        <v>796.62800000000004</v>
      </c>
      <c r="G120" s="1">
        <f t="shared" si="129"/>
        <v>943.04100000000005</v>
      </c>
      <c r="H120" s="1">
        <f t="shared" si="129"/>
        <v>2085.4279999999999</v>
      </c>
      <c r="I120" s="1">
        <f t="shared" si="129"/>
        <v>3999.8029999999999</v>
      </c>
      <c r="J120" s="1">
        <f>J97</f>
        <v>7689.58</v>
      </c>
      <c r="K120" s="1">
        <f>K119</f>
        <v>11768.156974160705</v>
      </c>
      <c r="L120" s="1">
        <f t="shared" ref="L120:U120" si="130">L119</f>
        <v>16918.0073348855</v>
      </c>
      <c r="M120" s="1">
        <f t="shared" si="130"/>
        <v>22854.540134573515</v>
      </c>
      <c r="N120" s="1">
        <f t="shared" si="130"/>
        <v>28758.71605109216</v>
      </c>
      <c r="O120" s="1">
        <f t="shared" si="130"/>
        <v>35102.853787800617</v>
      </c>
      <c r="P120" s="1">
        <f t="shared" si="130"/>
        <v>41950.958944997124</v>
      </c>
      <c r="Q120" s="1">
        <f t="shared" si="130"/>
        <v>49361.618424762491</v>
      </c>
      <c r="R120" s="1">
        <f t="shared" si="130"/>
        <v>56590.603264213081</v>
      </c>
      <c r="S120" s="1">
        <f t="shared" si="130"/>
        <v>64037.333736237371</v>
      </c>
      <c r="T120" s="1">
        <f t="shared" si="130"/>
        <v>71827.202973666601</v>
      </c>
      <c r="U120" s="1">
        <f t="shared" si="130"/>
        <v>80060.08239086211</v>
      </c>
    </row>
    <row r="121" spans="3:21" s="24" customFormat="1" outlineLevel="1">
      <c r="C121" s="24" t="s">
        <v>106</v>
      </c>
      <c r="F121" s="24">
        <f>F120-F119</f>
        <v>-12.456999999999994</v>
      </c>
      <c r="G121" s="24">
        <f>G120-G119</f>
        <v>-1.6580000000000155</v>
      </c>
      <c r="H121" s="24">
        <f>H120-H119</f>
        <v>254.85999999999967</v>
      </c>
      <c r="I121" s="24">
        <f>I120-I119</f>
        <v>85.702000000000226</v>
      </c>
      <c r="J121" s="24">
        <f>J120-J119</f>
        <v>42.086999999999534</v>
      </c>
    </row>
    <row r="122" spans="3:21" outlineLevel="1">
      <c r="D122" s="1" t="s">
        <v>107</v>
      </c>
      <c r="F122" s="25">
        <f>F120/F254</f>
        <v>5.4563561643835623</v>
      </c>
      <c r="G122" s="25">
        <f>G120/G254</f>
        <v>5.3581875000000005</v>
      </c>
      <c r="H122" s="25">
        <f>H120/H254</f>
        <v>7.6389304029304022</v>
      </c>
      <c r="I122" s="25">
        <f>I120/I254</f>
        <v>8.5832682403433473</v>
      </c>
      <c r="J122" s="25">
        <f>J120/J254</f>
        <v>10.012473958333333</v>
      </c>
      <c r="K122" s="25">
        <f t="shared" ref="K122:U122" si="131">K120/K254</f>
        <v>10.526079583328002</v>
      </c>
      <c r="L122" s="25">
        <f t="shared" si="131"/>
        <v>11.144932368172267</v>
      </c>
      <c r="M122" s="25">
        <f t="shared" si="131"/>
        <v>11.915818631164502</v>
      </c>
      <c r="N122" s="25">
        <f t="shared" si="131"/>
        <v>12.966057732683572</v>
      </c>
      <c r="O122" s="25">
        <f t="shared" si="131"/>
        <v>13.940767985623756</v>
      </c>
      <c r="P122" s="25">
        <f t="shared" si="131"/>
        <v>14.886784579487978</v>
      </c>
      <c r="Q122" s="25">
        <f t="shared" si="131"/>
        <v>15.831179738538323</v>
      </c>
      <c r="R122" s="25">
        <f t="shared" si="131"/>
        <v>17.055636909045536</v>
      </c>
      <c r="S122" s="25">
        <f t="shared" si="131"/>
        <v>18.202766838043598</v>
      </c>
      <c r="T122" s="25">
        <f t="shared" si="131"/>
        <v>19.318774333960892</v>
      </c>
      <c r="U122" s="25">
        <f t="shared" si="131"/>
        <v>20.433915873114373</v>
      </c>
    </row>
    <row r="123" spans="3:21" s="8" customFormat="1" outlineLevel="1">
      <c r="E123" s="8" t="s">
        <v>30</v>
      </c>
      <c r="G123" s="8">
        <f t="shared" ref="G123:I123" si="132">G122/F122-1</f>
        <v>-1.7991615911065129E-2</v>
      </c>
      <c r="H123" s="8">
        <f t="shared" si="132"/>
        <v>0.4256556723575653</v>
      </c>
      <c r="I123" s="8">
        <f t="shared" si="132"/>
        <v>0.12362173597637227</v>
      </c>
      <c r="J123" s="8">
        <f>J122/I122-1</f>
        <v>0.1665106667961731</v>
      </c>
      <c r="K123" s="8">
        <f t="shared" ref="K123:U123" si="133">K122/J122-1</f>
        <v>5.1296575365092245E-2</v>
      </c>
      <c r="L123" s="8">
        <f t="shared" si="133"/>
        <v>5.8792333835709476E-2</v>
      </c>
      <c r="M123" s="8">
        <f t="shared" si="133"/>
        <v>6.9169218576304203E-2</v>
      </c>
      <c r="N123" s="8">
        <f t="shared" si="133"/>
        <v>8.8138224827649436E-2</v>
      </c>
      <c r="O123" s="8">
        <f t="shared" si="133"/>
        <v>7.5173986807357096E-2</v>
      </c>
      <c r="P123" s="8">
        <f t="shared" si="133"/>
        <v>6.7859718692671045E-2</v>
      </c>
      <c r="Q123" s="8">
        <f t="shared" si="133"/>
        <v>6.3438491637179739E-2</v>
      </c>
      <c r="R123" s="8">
        <f t="shared" si="133"/>
        <v>7.7344657235270953E-2</v>
      </c>
      <c r="S123" s="8">
        <f t="shared" si="133"/>
        <v>6.7258111503867513E-2</v>
      </c>
      <c r="T123" s="8">
        <f t="shared" si="133"/>
        <v>6.1309772621206626E-2</v>
      </c>
      <c r="U123" s="8">
        <f t="shared" si="133"/>
        <v>5.7723203339724805E-2</v>
      </c>
    </row>
    <row r="125" spans="3:21" s="19" customFormat="1">
      <c r="C125" s="19" t="s">
        <v>108</v>
      </c>
    </row>
    <row r="126" spans="3:21" outlineLevel="1">
      <c r="C126" s="1" t="s">
        <v>98</v>
      </c>
      <c r="F126" s="2">
        <f>10.494-0.684</f>
        <v>9.81</v>
      </c>
      <c r="G126" s="1">
        <f t="shared" ref="G126:I126" si="134">F131</f>
        <v>19.219000000000001</v>
      </c>
      <c r="H126" s="1">
        <f t="shared" si="134"/>
        <v>14.954000000000001</v>
      </c>
      <c r="I126" s="1">
        <f t="shared" si="134"/>
        <v>10.619</v>
      </c>
      <c r="J126" s="1">
        <f>I131</f>
        <v>51.816000000000003</v>
      </c>
      <c r="K126" s="1">
        <f t="shared" ref="K126:U126" si="135">J131</f>
        <v>111.864</v>
      </c>
      <c r="L126" s="1">
        <f t="shared" si="135"/>
        <v>118.34334275127375</v>
      </c>
      <c r="M126" s="1">
        <f t="shared" si="135"/>
        <v>122.30189905583359</v>
      </c>
      <c r="N126" s="1">
        <f t="shared" si="135"/>
        <v>124.72038016077127</v>
      </c>
      <c r="O126" s="1">
        <f t="shared" si="135"/>
        <v>126.19795188261418</v>
      </c>
      <c r="P126" s="1">
        <f t="shared" si="135"/>
        <v>127.1006747481071</v>
      </c>
      <c r="Q126" s="1">
        <f t="shared" si="135"/>
        <v>127.6521935406212</v>
      </c>
      <c r="R126" s="1">
        <f t="shared" si="135"/>
        <v>127.98914410443581</v>
      </c>
      <c r="S126" s="1">
        <f t="shared" si="135"/>
        <v>128.19500414764019</v>
      </c>
      <c r="T126" s="1">
        <f t="shared" si="135"/>
        <v>128.32077439983493</v>
      </c>
      <c r="U126" s="1">
        <f t="shared" si="135"/>
        <v>128.39761377133655</v>
      </c>
    </row>
    <row r="127" spans="3:21" outlineLevel="1">
      <c r="C127" s="1" t="s">
        <v>99</v>
      </c>
      <c r="F127" s="1">
        <f t="shared" ref="F127:I127" si="136">-F216</f>
        <v>12.512</v>
      </c>
      <c r="G127" s="1">
        <f t="shared" si="136"/>
        <v>0.22600000000000001</v>
      </c>
      <c r="H127" s="1">
        <f t="shared" si="136"/>
        <v>0.17299999999999999</v>
      </c>
      <c r="I127" s="1">
        <f t="shared" si="136"/>
        <v>50.805999999999997</v>
      </c>
      <c r="J127" s="1">
        <f>-J216</f>
        <v>63.118000000000002</v>
      </c>
      <c r="K127" s="3">
        <v>50</v>
      </c>
      <c r="L127" s="3">
        <f>K127</f>
        <v>50</v>
      </c>
      <c r="M127" s="3">
        <f t="shared" ref="M127:U127" si="137">L127</f>
        <v>50</v>
      </c>
      <c r="N127" s="3">
        <f t="shared" si="137"/>
        <v>50</v>
      </c>
      <c r="O127" s="3">
        <f t="shared" si="137"/>
        <v>50</v>
      </c>
      <c r="P127" s="3">
        <f t="shared" si="137"/>
        <v>50</v>
      </c>
      <c r="Q127" s="3">
        <f t="shared" si="137"/>
        <v>50</v>
      </c>
      <c r="R127" s="3">
        <f t="shared" si="137"/>
        <v>50</v>
      </c>
      <c r="S127" s="3">
        <f t="shared" si="137"/>
        <v>50</v>
      </c>
      <c r="T127" s="3">
        <f t="shared" si="137"/>
        <v>50</v>
      </c>
      <c r="U127" s="3">
        <f t="shared" si="137"/>
        <v>50</v>
      </c>
    </row>
    <row r="128" spans="3:21" outlineLevel="1">
      <c r="C128" s="1" t="s">
        <v>54</v>
      </c>
      <c r="F128" s="20">
        <f t="shared" ref="F128:I128" si="138">-F205</f>
        <v>-3.13</v>
      </c>
      <c r="G128" s="20">
        <f t="shared" si="138"/>
        <v>-4.5229999999999997</v>
      </c>
      <c r="H128" s="20">
        <f t="shared" si="138"/>
        <v>-4.4619999999999997</v>
      </c>
      <c r="I128" s="20">
        <f t="shared" si="138"/>
        <v>-9.7309999999999999</v>
      </c>
      <c r="J128" s="20">
        <f>-J205</f>
        <v>-20.158999999999999</v>
      </c>
      <c r="K128" s="1">
        <f>K126/K129</f>
        <v>-43.520657248726259</v>
      </c>
      <c r="L128" s="1">
        <f>L126/L129</f>
        <v>-46.041443695440158</v>
      </c>
      <c r="M128" s="1">
        <f t="shared" ref="M128:U128" si="139">M126/M129</f>
        <v>-47.581518895062317</v>
      </c>
      <c r="N128" s="1">
        <f t="shared" si="139"/>
        <v>-48.522428278157086</v>
      </c>
      <c r="O128" s="1">
        <f t="shared" si="139"/>
        <v>-49.097277134507081</v>
      </c>
      <c r="P128" s="1">
        <f t="shared" si="139"/>
        <v>-49.448481207485919</v>
      </c>
      <c r="Q128" s="1">
        <f t="shared" si="139"/>
        <v>-49.663049436185396</v>
      </c>
      <c r="R128" s="1">
        <f t="shared" si="139"/>
        <v>-49.794139956795604</v>
      </c>
      <c r="S128" s="1">
        <f t="shared" si="139"/>
        <v>-49.874229747805273</v>
      </c>
      <c r="T128" s="1">
        <f t="shared" si="139"/>
        <v>-49.92316062849838</v>
      </c>
      <c r="U128" s="1">
        <f t="shared" si="139"/>
        <v>-49.953054964033754</v>
      </c>
    </row>
    <row r="129" spans="3:21" s="21" customFormat="1" outlineLevel="1">
      <c r="C129" s="21" t="s">
        <v>109</v>
      </c>
      <c r="F129" s="22">
        <f t="shared" ref="F129:H129" si="140">F126/F128</f>
        <v>-3.1341853035143772</v>
      </c>
      <c r="G129" s="22">
        <f t="shared" si="140"/>
        <v>-4.2491709042670802</v>
      </c>
      <c r="H129" s="22">
        <f t="shared" si="140"/>
        <v>-3.3514119229045276</v>
      </c>
      <c r="I129" s="22">
        <f>I126/I128</f>
        <v>-1.0912547528517109</v>
      </c>
      <c r="J129" s="22">
        <f>J126/J128</f>
        <v>-2.5703655935314256</v>
      </c>
      <c r="K129" s="23">
        <f>J129</f>
        <v>-2.5703655935314256</v>
      </c>
      <c r="L129" s="23">
        <f>K129</f>
        <v>-2.5703655935314256</v>
      </c>
      <c r="M129" s="23">
        <f t="shared" ref="M129:U129" si="141">L129</f>
        <v>-2.5703655935314256</v>
      </c>
      <c r="N129" s="23">
        <f t="shared" si="141"/>
        <v>-2.5703655935314256</v>
      </c>
      <c r="O129" s="23">
        <f t="shared" si="141"/>
        <v>-2.5703655935314256</v>
      </c>
      <c r="P129" s="23">
        <f t="shared" si="141"/>
        <v>-2.5703655935314256</v>
      </c>
      <c r="Q129" s="23">
        <f t="shared" si="141"/>
        <v>-2.5703655935314256</v>
      </c>
      <c r="R129" s="23">
        <f t="shared" si="141"/>
        <v>-2.5703655935314256</v>
      </c>
      <c r="S129" s="23">
        <f t="shared" si="141"/>
        <v>-2.5703655935314256</v>
      </c>
      <c r="T129" s="23">
        <f t="shared" si="141"/>
        <v>-2.5703655935314256</v>
      </c>
      <c r="U129" s="23">
        <f t="shared" si="141"/>
        <v>-2.5703655935314256</v>
      </c>
    </row>
    <row r="130" spans="3:21" outlineLevel="1">
      <c r="C130" s="1" t="s">
        <v>104</v>
      </c>
      <c r="F130" s="1">
        <f t="shared" ref="F130:I130" si="142">F126+F127+F128</f>
        <v>19.192000000000004</v>
      </c>
      <c r="G130" s="1">
        <f t="shared" si="142"/>
        <v>14.922000000000001</v>
      </c>
      <c r="H130" s="1">
        <f t="shared" si="142"/>
        <v>10.665000000000001</v>
      </c>
      <c r="I130" s="1">
        <f t="shared" si="142"/>
        <v>51.693999999999996</v>
      </c>
      <c r="J130" s="1">
        <f>J126+J127+J128</f>
        <v>94.775000000000006</v>
      </c>
      <c r="K130" s="1">
        <f>K126+K127+K128</f>
        <v>118.34334275127375</v>
      </c>
      <c r="L130" s="1">
        <f>L126+L127+L128</f>
        <v>122.30189905583359</v>
      </c>
      <c r="M130" s="1">
        <f t="shared" ref="M130:U130" si="143">M126+M127+M128</f>
        <v>124.72038016077127</v>
      </c>
      <c r="N130" s="1">
        <f t="shared" si="143"/>
        <v>126.19795188261418</v>
      </c>
      <c r="O130" s="1">
        <f t="shared" si="143"/>
        <v>127.1006747481071</v>
      </c>
      <c r="P130" s="1">
        <f t="shared" si="143"/>
        <v>127.6521935406212</v>
      </c>
      <c r="Q130" s="1">
        <f t="shared" si="143"/>
        <v>127.98914410443581</v>
      </c>
      <c r="R130" s="1">
        <f t="shared" si="143"/>
        <v>128.19500414764019</v>
      </c>
      <c r="S130" s="1">
        <f t="shared" si="143"/>
        <v>128.32077439983493</v>
      </c>
      <c r="T130" s="1">
        <f t="shared" si="143"/>
        <v>128.39761377133655</v>
      </c>
      <c r="U130" s="1">
        <f t="shared" si="143"/>
        <v>128.4445588073028</v>
      </c>
    </row>
    <row r="131" spans="3:21" outlineLevel="1">
      <c r="C131" s="1" t="s">
        <v>105</v>
      </c>
      <c r="F131" s="1">
        <f>F100</f>
        <v>19.219000000000001</v>
      </c>
      <c r="G131" s="1">
        <f>G100</f>
        <v>14.954000000000001</v>
      </c>
      <c r="H131" s="1">
        <f>H100</f>
        <v>10.619</v>
      </c>
      <c r="I131" s="1">
        <f>I100</f>
        <v>51.816000000000003</v>
      </c>
      <c r="J131" s="1">
        <f>J100</f>
        <v>111.864</v>
      </c>
      <c r="K131" s="1">
        <f>K130</f>
        <v>118.34334275127375</v>
      </c>
      <c r="L131" s="1">
        <f>L130</f>
        <v>122.30189905583359</v>
      </c>
      <c r="M131" s="1">
        <f t="shared" ref="M131:U131" si="144">M130</f>
        <v>124.72038016077127</v>
      </c>
      <c r="N131" s="1">
        <f t="shared" si="144"/>
        <v>126.19795188261418</v>
      </c>
      <c r="O131" s="1">
        <f t="shared" si="144"/>
        <v>127.1006747481071</v>
      </c>
      <c r="P131" s="1">
        <f t="shared" si="144"/>
        <v>127.6521935406212</v>
      </c>
      <c r="Q131" s="1">
        <f t="shared" si="144"/>
        <v>127.98914410443581</v>
      </c>
      <c r="R131" s="1">
        <f t="shared" si="144"/>
        <v>128.19500414764019</v>
      </c>
      <c r="S131" s="1">
        <f t="shared" si="144"/>
        <v>128.32077439983493</v>
      </c>
      <c r="T131" s="1">
        <f t="shared" si="144"/>
        <v>128.39761377133655</v>
      </c>
      <c r="U131" s="1">
        <f t="shared" si="144"/>
        <v>128.4445588073028</v>
      </c>
    </row>
    <row r="132" spans="3:21" s="24" customFormat="1" outlineLevel="1">
      <c r="C132" s="24" t="s">
        <v>106</v>
      </c>
      <c r="F132" s="24">
        <f t="shared" ref="F132:I132" si="145">F131-F130</f>
        <v>2.699999999999747E-2</v>
      </c>
      <c r="G132" s="24">
        <f t="shared" si="145"/>
        <v>3.2000000000000028E-2</v>
      </c>
      <c r="H132" s="24">
        <f t="shared" si="145"/>
        <v>-4.6000000000001151E-2</v>
      </c>
      <c r="I132" s="24">
        <f t="shared" si="145"/>
        <v>0.12200000000000699</v>
      </c>
      <c r="J132" s="24">
        <f>J131-J130</f>
        <v>17.088999999999999</v>
      </c>
    </row>
    <row r="134" spans="3:21" s="19" customFormat="1">
      <c r="C134" s="19" t="s">
        <v>110</v>
      </c>
    </row>
    <row r="135" spans="3:21" outlineLevel="1">
      <c r="C135" s="1" t="s">
        <v>98</v>
      </c>
      <c r="F135" s="2"/>
      <c r="J135" s="2">
        <v>3414.5810000000001</v>
      </c>
      <c r="K135" s="1">
        <f>J141</f>
        <v>4755.8389999999999</v>
      </c>
      <c r="L135" s="1">
        <f t="shared" ref="L135:U135" si="146">K141</f>
        <v>5713.1991666666663</v>
      </c>
      <c r="M135" s="1">
        <f t="shared" si="146"/>
        <v>6760.9993055555551</v>
      </c>
      <c r="N135" s="1">
        <f t="shared" si="146"/>
        <v>7634.1660879629626</v>
      </c>
      <c r="O135" s="1">
        <f t="shared" si="146"/>
        <v>7861.8050733024702</v>
      </c>
      <c r="P135" s="1">
        <f t="shared" si="146"/>
        <v>8051.5042277520588</v>
      </c>
      <c r="Q135" s="1">
        <f t="shared" si="146"/>
        <v>8209.5868564600496</v>
      </c>
      <c r="R135" s="1">
        <f t="shared" si="146"/>
        <v>8341.3223803833753</v>
      </c>
      <c r="S135" s="1">
        <f t="shared" si="146"/>
        <v>7951.101983652813</v>
      </c>
      <c r="T135" s="1">
        <f t="shared" si="146"/>
        <v>7625.9183197106786</v>
      </c>
      <c r="U135" s="1">
        <f t="shared" si="146"/>
        <v>7354.9319330922335</v>
      </c>
    </row>
    <row r="136" spans="3:21" outlineLevel="1">
      <c r="C136" s="1" t="s">
        <v>111</v>
      </c>
      <c r="J136" s="2">
        <v>2010.672</v>
      </c>
      <c r="K136" s="1">
        <f>K137*K276</f>
        <v>1750</v>
      </c>
      <c r="L136" s="1">
        <f t="shared" ref="L136:U136" si="147">L137*L276</f>
        <v>2000</v>
      </c>
      <c r="M136" s="1">
        <f t="shared" si="147"/>
        <v>2000</v>
      </c>
      <c r="N136" s="1">
        <f t="shared" si="147"/>
        <v>1500</v>
      </c>
      <c r="O136" s="1">
        <f t="shared" si="147"/>
        <v>1500</v>
      </c>
      <c r="P136" s="1">
        <f t="shared" si="147"/>
        <v>1500</v>
      </c>
      <c r="Q136" s="1">
        <f t="shared" si="147"/>
        <v>1500</v>
      </c>
      <c r="R136" s="1">
        <f t="shared" si="147"/>
        <v>1000</v>
      </c>
      <c r="S136" s="1">
        <f t="shared" si="147"/>
        <v>1000</v>
      </c>
      <c r="T136" s="1">
        <f t="shared" si="147"/>
        <v>1000</v>
      </c>
      <c r="U136" s="1">
        <f t="shared" si="147"/>
        <v>1000</v>
      </c>
    </row>
    <row r="137" spans="3:21" s="10" customFormat="1" outlineLevel="1">
      <c r="D137" s="10" t="s">
        <v>112</v>
      </c>
      <c r="J137" s="15">
        <f>J136/J276</f>
        <v>6.6578543046357614</v>
      </c>
      <c r="K137" s="16">
        <v>5</v>
      </c>
      <c r="L137" s="16">
        <f t="shared" ref="L137:U137" si="148">K137</f>
        <v>5</v>
      </c>
      <c r="M137" s="16">
        <f t="shared" si="148"/>
        <v>5</v>
      </c>
      <c r="N137" s="16">
        <f t="shared" si="148"/>
        <v>5</v>
      </c>
      <c r="O137" s="16">
        <f t="shared" si="148"/>
        <v>5</v>
      </c>
      <c r="P137" s="16">
        <f t="shared" si="148"/>
        <v>5</v>
      </c>
      <c r="Q137" s="16">
        <f t="shared" si="148"/>
        <v>5</v>
      </c>
      <c r="R137" s="16">
        <f t="shared" si="148"/>
        <v>5</v>
      </c>
      <c r="S137" s="16">
        <f t="shared" si="148"/>
        <v>5</v>
      </c>
      <c r="T137" s="16">
        <f t="shared" si="148"/>
        <v>5</v>
      </c>
      <c r="U137" s="16">
        <f t="shared" si="148"/>
        <v>5</v>
      </c>
    </row>
    <row r="138" spans="3:21" outlineLevel="1">
      <c r="C138" s="1" t="s">
        <v>54</v>
      </c>
      <c r="F138" s="20"/>
      <c r="G138" s="20"/>
      <c r="H138" s="20"/>
      <c r="I138" s="20"/>
      <c r="J138" s="20">
        <f>-J206</f>
        <v>-638.048</v>
      </c>
      <c r="K138" s="1">
        <f>K135/K139</f>
        <v>-792.63983333333329</v>
      </c>
      <c r="L138" s="1">
        <f t="shared" ref="L138:U138" si="149">L135/L139</f>
        <v>-952.19986111111109</v>
      </c>
      <c r="M138" s="1">
        <f t="shared" si="149"/>
        <v>-1126.8332175925925</v>
      </c>
      <c r="N138" s="1">
        <f t="shared" si="149"/>
        <v>-1272.3610146604938</v>
      </c>
      <c r="O138" s="1">
        <f t="shared" si="149"/>
        <v>-1310.3008455504116</v>
      </c>
      <c r="P138" s="1">
        <f t="shared" si="149"/>
        <v>-1341.9173712920099</v>
      </c>
      <c r="Q138" s="1">
        <f t="shared" si="149"/>
        <v>-1368.264476076675</v>
      </c>
      <c r="R138" s="1">
        <f t="shared" si="149"/>
        <v>-1390.2203967305625</v>
      </c>
      <c r="S138" s="1">
        <f t="shared" si="149"/>
        <v>-1325.1836639421356</v>
      </c>
      <c r="T138" s="1">
        <f t="shared" si="149"/>
        <v>-1270.9863866184464</v>
      </c>
      <c r="U138" s="1">
        <f t="shared" si="149"/>
        <v>-1225.8219888487056</v>
      </c>
    </row>
    <row r="139" spans="3:21" s="21" customFormat="1" outlineLevel="1">
      <c r="C139" s="21" t="s">
        <v>109</v>
      </c>
      <c r="F139" s="22"/>
      <c r="G139" s="22"/>
      <c r="H139" s="22"/>
      <c r="I139" s="22"/>
      <c r="J139" s="22">
        <f>J135/J138</f>
        <v>-5.3516052083855765</v>
      </c>
      <c r="K139" s="23">
        <v>-6</v>
      </c>
      <c r="L139" s="23">
        <f t="shared" ref="L139:U139" si="150">K139</f>
        <v>-6</v>
      </c>
      <c r="M139" s="23">
        <f t="shared" si="150"/>
        <v>-6</v>
      </c>
      <c r="N139" s="23">
        <f t="shared" si="150"/>
        <v>-6</v>
      </c>
      <c r="O139" s="23">
        <f t="shared" si="150"/>
        <v>-6</v>
      </c>
      <c r="P139" s="23">
        <f t="shared" si="150"/>
        <v>-6</v>
      </c>
      <c r="Q139" s="23">
        <f t="shared" si="150"/>
        <v>-6</v>
      </c>
      <c r="R139" s="23">
        <f t="shared" si="150"/>
        <v>-6</v>
      </c>
      <c r="S139" s="23">
        <f t="shared" si="150"/>
        <v>-6</v>
      </c>
      <c r="T139" s="23">
        <f t="shared" si="150"/>
        <v>-6</v>
      </c>
      <c r="U139" s="23">
        <f t="shared" si="150"/>
        <v>-6</v>
      </c>
    </row>
    <row r="140" spans="3:21" outlineLevel="1">
      <c r="C140" s="1" t="s">
        <v>104</v>
      </c>
      <c r="J140" s="1">
        <f>J135+J136+J138</f>
        <v>4787.2050000000008</v>
      </c>
      <c r="K140" s="1">
        <f>K135+K136+K138</f>
        <v>5713.1991666666663</v>
      </c>
      <c r="L140" s="1">
        <f t="shared" ref="L140:U140" si="151">L135+L136+L138</f>
        <v>6760.9993055555551</v>
      </c>
      <c r="M140" s="1">
        <f t="shared" si="151"/>
        <v>7634.1660879629626</v>
      </c>
      <c r="N140" s="1">
        <f t="shared" si="151"/>
        <v>7861.8050733024702</v>
      </c>
      <c r="O140" s="1">
        <f t="shared" si="151"/>
        <v>8051.5042277520588</v>
      </c>
      <c r="P140" s="1">
        <f t="shared" si="151"/>
        <v>8209.5868564600496</v>
      </c>
      <c r="Q140" s="1">
        <f t="shared" si="151"/>
        <v>8341.3223803833753</v>
      </c>
      <c r="R140" s="1">
        <f t="shared" si="151"/>
        <v>7951.101983652813</v>
      </c>
      <c r="S140" s="1">
        <f t="shared" si="151"/>
        <v>7625.9183197106786</v>
      </c>
      <c r="T140" s="1">
        <f t="shared" si="151"/>
        <v>7354.9319330922335</v>
      </c>
      <c r="U140" s="1">
        <f t="shared" si="151"/>
        <v>7129.1099442435279</v>
      </c>
    </row>
    <row r="141" spans="3:21" outlineLevel="1">
      <c r="C141" s="1" t="s">
        <v>105</v>
      </c>
      <c r="F141" s="1">
        <f>F98</f>
        <v>0</v>
      </c>
      <c r="G141" s="1">
        <f>G98</f>
        <v>0</v>
      </c>
      <c r="H141" s="1">
        <f>H98</f>
        <v>0</v>
      </c>
      <c r="I141" s="1">
        <f>I98</f>
        <v>0</v>
      </c>
      <c r="J141" s="1">
        <f>J98</f>
        <v>4755.8389999999999</v>
      </c>
      <c r="K141" s="1">
        <f>K140</f>
        <v>5713.1991666666663</v>
      </c>
      <c r="L141" s="1">
        <f t="shared" ref="L141:U141" si="152">L140</f>
        <v>6760.9993055555551</v>
      </c>
      <c r="M141" s="1">
        <f t="shared" si="152"/>
        <v>7634.1660879629626</v>
      </c>
      <c r="N141" s="1">
        <f t="shared" si="152"/>
        <v>7861.8050733024702</v>
      </c>
      <c r="O141" s="1">
        <f t="shared" si="152"/>
        <v>8051.5042277520588</v>
      </c>
      <c r="P141" s="1">
        <f t="shared" si="152"/>
        <v>8209.5868564600496</v>
      </c>
      <c r="Q141" s="1">
        <f t="shared" si="152"/>
        <v>8341.3223803833753</v>
      </c>
      <c r="R141" s="1">
        <f t="shared" si="152"/>
        <v>7951.101983652813</v>
      </c>
      <c r="S141" s="1">
        <f t="shared" si="152"/>
        <v>7625.9183197106786</v>
      </c>
      <c r="T141" s="1">
        <f t="shared" si="152"/>
        <v>7354.9319330922335</v>
      </c>
      <c r="U141" s="1">
        <f t="shared" si="152"/>
        <v>7129.1099442435279</v>
      </c>
    </row>
    <row r="142" spans="3:21" s="24" customFormat="1" outlineLevel="1">
      <c r="C142" s="24" t="s">
        <v>106</v>
      </c>
      <c r="J142" s="24">
        <f>J141-J140</f>
        <v>-31.366000000000895</v>
      </c>
    </row>
    <row r="144" spans="3:21" s="19" customFormat="1">
      <c r="C144" s="19" t="s">
        <v>113</v>
      </c>
      <c r="F144" s="19">
        <f t="shared" ref="F144:I144" si="153">F168+F175</f>
        <v>0</v>
      </c>
      <c r="G144" s="19">
        <f t="shared" si="153"/>
        <v>0</v>
      </c>
      <c r="H144" s="19">
        <f t="shared" si="153"/>
        <v>0</v>
      </c>
      <c r="I144" s="19">
        <f t="shared" si="153"/>
        <v>0</v>
      </c>
      <c r="J144" s="19">
        <f>J168+J175</f>
        <v>4876.1630000000005</v>
      </c>
      <c r="K144" s="19">
        <f>K145*K141</f>
        <v>5713.1991666666663</v>
      </c>
      <c r="L144" s="19">
        <f t="shared" ref="L144:U144" si="154">L145*L141</f>
        <v>6760.9993055555551</v>
      </c>
      <c r="M144" s="19">
        <f t="shared" si="154"/>
        <v>7634.1660879629626</v>
      </c>
      <c r="N144" s="19">
        <f t="shared" si="154"/>
        <v>7861.8050733024702</v>
      </c>
      <c r="O144" s="19">
        <f t="shared" si="154"/>
        <v>8051.5042277520588</v>
      </c>
      <c r="P144" s="19">
        <f t="shared" si="154"/>
        <v>8209.5868564600496</v>
      </c>
      <c r="Q144" s="19">
        <f t="shared" si="154"/>
        <v>8341.3223803833753</v>
      </c>
      <c r="R144" s="19">
        <f t="shared" si="154"/>
        <v>7951.101983652813</v>
      </c>
      <c r="S144" s="19">
        <f t="shared" si="154"/>
        <v>7625.9183197106786</v>
      </c>
      <c r="T144" s="19">
        <f t="shared" si="154"/>
        <v>7354.9319330922335</v>
      </c>
      <c r="U144" s="19">
        <f t="shared" si="154"/>
        <v>7129.1099442435279</v>
      </c>
    </row>
    <row r="145" spans="2:30" s="8" customFormat="1">
      <c r="D145" s="8" t="s">
        <v>114</v>
      </c>
      <c r="J145" s="8">
        <f>J144/J141</f>
        <v>1.0253002677340424</v>
      </c>
      <c r="K145" s="9">
        <v>1</v>
      </c>
      <c r="L145" s="9">
        <v>1</v>
      </c>
      <c r="M145" s="9">
        <v>1</v>
      </c>
      <c r="N145" s="9">
        <v>1</v>
      </c>
      <c r="O145" s="9">
        <v>1</v>
      </c>
      <c r="P145" s="9">
        <v>1</v>
      </c>
      <c r="Q145" s="9">
        <v>1</v>
      </c>
      <c r="R145" s="9">
        <v>1</v>
      </c>
      <c r="S145" s="9">
        <v>1</v>
      </c>
      <c r="T145" s="9">
        <v>1</v>
      </c>
      <c r="U145" s="9">
        <v>1</v>
      </c>
    </row>
    <row r="147" spans="2:30" s="6" customFormat="1">
      <c r="B147" s="6" t="s">
        <v>115</v>
      </c>
      <c r="F147" s="6">
        <f t="shared" ref="F147:H147" si="155">F149+F150+F151+F152+F153+F154+F155+F156</f>
        <v>1184.0619999999999</v>
      </c>
      <c r="G147" s="6">
        <f t="shared" si="155"/>
        <v>1256.6749999999997</v>
      </c>
      <c r="H147" s="6">
        <f t="shared" si="155"/>
        <v>1461.6939999999997</v>
      </c>
      <c r="I147" s="6">
        <f>I149+I150+I151+I152+I153+I154+I155+I156</f>
        <v>5735.9859999999999</v>
      </c>
      <c r="J147" s="6">
        <f>J149+J150+J151+J152+J153+J154+J155+J156</f>
        <v>7200.2909999999993</v>
      </c>
      <c r="X147" s="6">
        <f t="shared" ref="X147" si="156">X149+X150+X151+X152+X153+X154+X155+X156</f>
        <v>0</v>
      </c>
      <c r="Y147" s="6">
        <f>Y149+Y150+Y151+Y152+Y153+Y154+Y155+Y156</f>
        <v>1461.6939999999997</v>
      </c>
      <c r="Z147" s="6">
        <f>Z149+Z150+Z151+Z152+Z153+Z154+Z155+Z156</f>
        <v>1482.46</v>
      </c>
      <c r="AA147" s="6">
        <f>AA149+AA150+AA151+AA152+AA153+AA154+AA155+AA156</f>
        <v>5735.9859999999999</v>
      </c>
      <c r="AB147" s="6">
        <f>AB149+AB150+AB151+AB152+AB153+AB154+AB155+AB156</f>
        <v>6887.9570000000003</v>
      </c>
      <c r="AC147" s="6">
        <f>AC149+AC150+AC151+AC152+AC153+AC154+AC155+AC156</f>
        <v>7200.2909999999993</v>
      </c>
      <c r="AD147" s="6">
        <f t="shared" ref="AD147" si="157">AD149+AD150+AD151+AD152+AD153+AD154+AD155+AD156</f>
        <v>7446.8329999999996</v>
      </c>
    </row>
    <row r="149" spans="2:30">
      <c r="C149" s="18" t="s">
        <v>116</v>
      </c>
      <c r="F149" s="2">
        <v>41.064999999999998</v>
      </c>
      <c r="G149" s="2">
        <v>49.707000000000001</v>
      </c>
      <c r="H149" s="2">
        <v>95.117999999999995</v>
      </c>
      <c r="I149" s="2">
        <v>457.12400000000002</v>
      </c>
      <c r="J149" s="2">
        <v>1199.6659999999999</v>
      </c>
      <c r="X149" s="2"/>
      <c r="Y149" s="2">
        <v>95.117999999999995</v>
      </c>
      <c r="Z149" s="2">
        <v>325.43900000000002</v>
      </c>
      <c r="AA149" s="2">
        <v>457.12400000000002</v>
      </c>
      <c r="AB149" s="2">
        <v>458.13799999999998</v>
      </c>
      <c r="AC149" s="2">
        <v>1199.6659999999999</v>
      </c>
      <c r="AD149" s="2">
        <v>907.90800000000002</v>
      </c>
    </row>
    <row r="150" spans="2:30">
      <c r="C150" s="18" t="s">
        <v>117</v>
      </c>
      <c r="F150" s="2">
        <v>175.47300000000001</v>
      </c>
      <c r="G150" s="2">
        <v>246.678</v>
      </c>
      <c r="H150" s="2">
        <v>497.61599999999999</v>
      </c>
      <c r="I150" s="2">
        <v>845.11800000000005</v>
      </c>
      <c r="J150" s="2">
        <v>1615.5509999999999</v>
      </c>
      <c r="X150" s="2"/>
      <c r="Y150" s="2">
        <v>497.61599999999999</v>
      </c>
      <c r="Z150" s="2">
        <v>568.53800000000001</v>
      </c>
      <c r="AA150" s="2">
        <v>845.11800000000005</v>
      </c>
      <c r="AB150" s="2">
        <v>1353.2529999999999</v>
      </c>
      <c r="AC150" s="2">
        <v>1615.5509999999999</v>
      </c>
      <c r="AD150" s="2">
        <v>1603.4110000000001</v>
      </c>
    </row>
    <row r="151" spans="2:30">
      <c r="C151" s="18" t="s">
        <v>118</v>
      </c>
      <c r="F151" s="2">
        <v>748.33600000000001</v>
      </c>
      <c r="G151" s="2">
        <v>502.24200000000002</v>
      </c>
      <c r="H151" s="2">
        <v>444.21300000000002</v>
      </c>
      <c r="I151" s="2">
        <v>201.261</v>
      </c>
      <c r="J151" s="2">
        <v>300.97300000000001</v>
      </c>
      <c r="X151" s="2"/>
      <c r="Y151" s="2">
        <v>444.21300000000002</v>
      </c>
      <c r="Z151" s="2">
        <v>43.558999999999997</v>
      </c>
      <c r="AA151" s="2">
        <v>201.261</v>
      </c>
      <c r="AB151" s="2">
        <v>250.92500000000001</v>
      </c>
      <c r="AC151" s="2">
        <v>300.97300000000001</v>
      </c>
      <c r="AD151" s="2">
        <v>253.57499999999999</v>
      </c>
    </row>
    <row r="152" spans="2:30">
      <c r="C152" s="1" t="s">
        <v>90</v>
      </c>
      <c r="F152" s="2">
        <v>52.954000000000001</v>
      </c>
      <c r="G152" s="2">
        <v>7.3230000000000004</v>
      </c>
      <c r="H152" s="2">
        <v>78.856999999999999</v>
      </c>
      <c r="I152" s="2">
        <v>1.653</v>
      </c>
      <c r="J152" s="2">
        <v>0</v>
      </c>
      <c r="X152" s="2"/>
      <c r="Y152" s="2">
        <v>78.856999999999999</v>
      </c>
      <c r="Z152" s="2">
        <v>12.673999999999999</v>
      </c>
      <c r="AA152" s="2">
        <v>1.653</v>
      </c>
      <c r="AB152" s="2">
        <v>22.023</v>
      </c>
      <c r="AC152" s="2">
        <v>0</v>
      </c>
      <c r="AD152" s="2">
        <v>1301.855</v>
      </c>
    </row>
    <row r="153" spans="2:30">
      <c r="C153" s="1" t="s">
        <v>93</v>
      </c>
      <c r="F153" s="2">
        <v>0</v>
      </c>
      <c r="G153" s="2">
        <v>0</v>
      </c>
      <c r="H153" s="2">
        <v>0</v>
      </c>
      <c r="I153" s="2">
        <v>103.381</v>
      </c>
      <c r="J153" s="2">
        <v>1804.0350000000001</v>
      </c>
      <c r="X153" s="2"/>
      <c r="Y153" s="2">
        <v>0</v>
      </c>
      <c r="Z153" s="2">
        <v>0</v>
      </c>
      <c r="AA153" s="2">
        <v>103.381</v>
      </c>
      <c r="AB153" s="2">
        <v>1752.0730000000001</v>
      </c>
      <c r="AC153" s="2">
        <v>1804.0350000000001</v>
      </c>
      <c r="AD153" s="2">
        <v>1107.6869999999999</v>
      </c>
    </row>
    <row r="154" spans="2:30">
      <c r="C154" s="1" t="s">
        <v>119</v>
      </c>
      <c r="F154" s="2">
        <v>7</v>
      </c>
      <c r="G154" s="2">
        <v>7.6360000000000001</v>
      </c>
      <c r="H154" s="2">
        <v>16.201000000000001</v>
      </c>
      <c r="I154" s="2">
        <v>0.80700000000000005</v>
      </c>
      <c r="J154" s="2">
        <v>0</v>
      </c>
      <c r="X154" s="2"/>
      <c r="Y154" s="2">
        <v>16.201000000000001</v>
      </c>
      <c r="Z154" s="2">
        <v>0</v>
      </c>
      <c r="AA154" s="2">
        <v>0.80700000000000005</v>
      </c>
      <c r="AB154" s="2">
        <v>0</v>
      </c>
      <c r="AC154" s="2">
        <v>0</v>
      </c>
      <c r="AD154" s="2">
        <v>2</v>
      </c>
    </row>
    <row r="155" spans="2:30">
      <c r="C155" s="1" t="s">
        <v>120</v>
      </c>
      <c r="F155" s="2">
        <v>1.639</v>
      </c>
      <c r="G155" s="2">
        <v>36.213000000000001</v>
      </c>
      <c r="H155" s="2">
        <v>47.656999999999996</v>
      </c>
      <c r="I155" s="2">
        <v>8.0190000000000001</v>
      </c>
      <c r="J155" s="2">
        <v>58.103999999999999</v>
      </c>
      <c r="X155" s="2"/>
      <c r="Y155" s="2">
        <v>47.656999999999996</v>
      </c>
      <c r="Z155" s="2">
        <v>1.147</v>
      </c>
      <c r="AA155" s="2">
        <v>8.0190000000000001</v>
      </c>
      <c r="AB155" s="2">
        <v>48.841000000000001</v>
      </c>
      <c r="AC155" s="2">
        <v>58.103999999999999</v>
      </c>
      <c r="AD155" s="2">
        <v>22.736999999999998</v>
      </c>
    </row>
    <row r="156" spans="2:30">
      <c r="C156" s="1" t="s">
        <v>121</v>
      </c>
      <c r="F156" s="2">
        <v>157.595</v>
      </c>
      <c r="G156" s="2">
        <v>406.87599999999998</v>
      </c>
      <c r="H156" s="2">
        <v>282.03199999999998</v>
      </c>
      <c r="I156" s="2">
        <v>4118.6229999999996</v>
      </c>
      <c r="J156" s="2">
        <v>2221.962</v>
      </c>
      <c r="X156" s="2"/>
      <c r="Y156" s="2">
        <v>282.03199999999998</v>
      </c>
      <c r="Z156" s="2">
        <v>531.10299999999995</v>
      </c>
      <c r="AA156" s="2">
        <v>4118.6229999999996</v>
      </c>
      <c r="AB156" s="2">
        <v>3002.7040000000002</v>
      </c>
      <c r="AC156" s="2">
        <v>2221.962</v>
      </c>
      <c r="AD156" s="2">
        <v>2247.66</v>
      </c>
    </row>
    <row r="158" spans="2:30" s="6" customFormat="1">
      <c r="B158" s="6" t="s">
        <v>122</v>
      </c>
      <c r="F158" s="6">
        <f>F95+F147</f>
        <v>2406.6179999999999</v>
      </c>
      <c r="G158" s="6">
        <f>G95+G147</f>
        <v>2749.5229999999992</v>
      </c>
      <c r="H158" s="6">
        <f>H95+H147</f>
        <v>3735.8249999999998</v>
      </c>
      <c r="I158" s="6">
        <f>I95+I147</f>
        <v>11944.643</v>
      </c>
      <c r="J158" s="6">
        <f>J95+J147</f>
        <v>20613.932000000001</v>
      </c>
      <c r="X158" s="6">
        <f t="shared" ref="X158:AD158" si="158">X95+X147</f>
        <v>0</v>
      </c>
      <c r="Y158" s="6">
        <f t="shared" si="158"/>
        <v>3735.8249999999998</v>
      </c>
      <c r="Z158" s="6">
        <f t="shared" si="158"/>
        <v>4528.5310000000009</v>
      </c>
      <c r="AA158" s="6">
        <f t="shared" si="158"/>
        <v>11944.643</v>
      </c>
      <c r="AB158" s="6">
        <f t="shared" si="158"/>
        <v>16924.002</v>
      </c>
      <c r="AC158" s="6">
        <f t="shared" si="158"/>
        <v>20613.932000000001</v>
      </c>
      <c r="AD158" s="6">
        <f t="shared" si="158"/>
        <v>23036.42</v>
      </c>
    </row>
    <row r="160" spans="2:30" s="6" customFormat="1">
      <c r="B160" s="6" t="s">
        <v>123</v>
      </c>
      <c r="F160" s="6">
        <f t="shared" ref="F160:I160" si="159">F162+F163+F164+F165+F166+F167+F168+F169</f>
        <v>1244.4189999999999</v>
      </c>
      <c r="G160" s="6">
        <f t="shared" si="159"/>
        <v>1642.318</v>
      </c>
      <c r="H160" s="6">
        <f t="shared" si="159"/>
        <v>2618.1370000000002</v>
      </c>
      <c r="I160" s="6">
        <f t="shared" si="159"/>
        <v>3305.9880000000003</v>
      </c>
      <c r="J160" s="6">
        <f>J162+J163+J164+J165+J166+J167+J168+J169</f>
        <v>5664.0709999999999</v>
      </c>
      <c r="X160" s="6">
        <f t="shared" ref="X160:AA160" si="160">X162+X163+X164+X165+X166+X167+X168+X169</f>
        <v>0</v>
      </c>
      <c r="Y160" s="6">
        <f>Y162+Y163+Y164+Y165+Y166+Y167+Y168+Y169</f>
        <v>2618.1370000000002</v>
      </c>
      <c r="Z160" s="6">
        <f t="shared" si="160"/>
        <v>3314.5149999999999</v>
      </c>
      <c r="AA160" s="6">
        <f t="shared" si="160"/>
        <v>3305.9880000000003</v>
      </c>
      <c r="AB160" s="6">
        <f>AB162+AB163+AB164+AB165+AB166+AB167+AB168+AB169</f>
        <v>3923.4640000000004</v>
      </c>
      <c r="AC160" s="6">
        <f>AC162+AC163+AC164+AC165+AC166+AC167+AC168+AC169</f>
        <v>5664.0709999999999</v>
      </c>
      <c r="AD160" s="6">
        <f t="shared" ref="AD160" si="161">AD162+AD163+AD164+AD165+AD166+AD167+AD168+AD169</f>
        <v>8546.5639999999985</v>
      </c>
    </row>
    <row r="162" spans="2:30">
      <c r="C162" s="18" t="s">
        <v>124</v>
      </c>
      <c r="F162" s="2">
        <v>100.27200000000001</v>
      </c>
      <c r="G162" s="2">
        <v>119.768</v>
      </c>
      <c r="H162" s="2">
        <v>168.71899999999999</v>
      </c>
      <c r="I162" s="2">
        <v>729.32799999999997</v>
      </c>
      <c r="J162" s="2">
        <v>1406.4079999999999</v>
      </c>
      <c r="X162" s="2"/>
      <c r="Y162" s="2">
        <v>168.71899999999999</v>
      </c>
      <c r="Z162" s="2">
        <v>411.56200000000001</v>
      </c>
      <c r="AA162" s="2">
        <v>729.32799999999997</v>
      </c>
      <c r="AB162" s="2">
        <v>909.822</v>
      </c>
      <c r="AC162" s="2">
        <v>1406.4079999999999</v>
      </c>
      <c r="AD162" s="2">
        <v>1206.818</v>
      </c>
    </row>
    <row r="163" spans="2:30">
      <c r="C163" s="18" t="s">
        <v>125</v>
      </c>
      <c r="F163" s="2">
        <v>284.74299999999999</v>
      </c>
      <c r="G163" s="2">
        <v>363.97899999999998</v>
      </c>
      <c r="H163" s="2">
        <v>510.73500000000001</v>
      </c>
      <c r="I163" s="2">
        <v>906.46400000000006</v>
      </c>
      <c r="J163" s="2">
        <f>300+1276.989</f>
        <v>1576.989</v>
      </c>
      <c r="X163" s="2"/>
      <c r="Y163" s="2">
        <v>510.73500000000001</v>
      </c>
      <c r="Z163" s="2">
        <v>589.66499999999996</v>
      </c>
      <c r="AA163" s="2">
        <v>906.46400000000006</v>
      </c>
      <c r="AB163" s="2">
        <v>1208.489</v>
      </c>
      <c r="AC163" s="2">
        <f>300+1276.989</f>
        <v>1576.989</v>
      </c>
      <c r="AD163" s="2">
        <f>111.808+1633.912</f>
        <v>1745.72</v>
      </c>
    </row>
    <row r="164" spans="2:30">
      <c r="C164" s="18" t="s">
        <v>126</v>
      </c>
      <c r="F164" s="2">
        <v>154.31899999999999</v>
      </c>
      <c r="G164" s="2">
        <v>212.505</v>
      </c>
      <c r="H164" s="2">
        <v>1202.588</v>
      </c>
      <c r="I164" s="2">
        <v>592.66300000000001</v>
      </c>
      <c r="J164" s="2">
        <v>1071.8050000000001</v>
      </c>
      <c r="X164" s="2"/>
      <c r="Y164" s="2">
        <v>1202.588</v>
      </c>
      <c r="Z164" s="2">
        <v>651.18499999999995</v>
      </c>
      <c r="AA164" s="2">
        <v>592.66300000000001</v>
      </c>
      <c r="AB164" s="2">
        <v>370.48399999999998</v>
      </c>
      <c r="AC164" s="2">
        <v>1071.8050000000001</v>
      </c>
      <c r="AD164" s="2">
        <v>1119.067</v>
      </c>
    </row>
    <row r="165" spans="2:30">
      <c r="C165" s="1" t="s">
        <v>127</v>
      </c>
      <c r="F165" s="2">
        <v>0</v>
      </c>
      <c r="G165" s="2">
        <v>0</v>
      </c>
      <c r="H165" s="2">
        <v>0</v>
      </c>
      <c r="I165" s="2">
        <v>128.416</v>
      </c>
      <c r="J165" s="2">
        <v>3.8050000000000002</v>
      </c>
      <c r="X165" s="2"/>
      <c r="Y165" s="2">
        <v>0</v>
      </c>
      <c r="Z165" s="2">
        <v>128.416</v>
      </c>
      <c r="AA165" s="2">
        <v>128.416</v>
      </c>
      <c r="AB165" s="2">
        <v>0</v>
      </c>
      <c r="AC165" s="2">
        <v>3.8050000000000002</v>
      </c>
      <c r="AD165" s="2">
        <v>3.8050000000000002</v>
      </c>
    </row>
    <row r="166" spans="2:30">
      <c r="C166" s="18" t="s">
        <v>128</v>
      </c>
      <c r="F166" s="2">
        <v>45.49</v>
      </c>
      <c r="G166" s="2">
        <v>105.366</v>
      </c>
      <c r="H166" s="2">
        <v>79.751999999999995</v>
      </c>
      <c r="I166" s="2">
        <v>160.72399999999999</v>
      </c>
      <c r="J166" s="2">
        <v>224.30099999999999</v>
      </c>
      <c r="X166" s="2"/>
      <c r="Y166" s="2">
        <v>79.751999999999995</v>
      </c>
      <c r="Z166" s="2">
        <v>67.02</v>
      </c>
      <c r="AA166" s="2">
        <v>160.72399999999999</v>
      </c>
      <c r="AB166" s="2">
        <v>114.532</v>
      </c>
      <c r="AC166" s="2">
        <v>224.30099999999999</v>
      </c>
      <c r="AD166" s="2">
        <v>38.994999999999997</v>
      </c>
    </row>
    <row r="167" spans="2:30">
      <c r="C167" s="1" t="s">
        <v>129</v>
      </c>
      <c r="F167" s="2">
        <v>414.39100000000002</v>
      </c>
      <c r="G167" s="2">
        <v>567.45100000000002</v>
      </c>
      <c r="H167" s="2">
        <v>347.76400000000001</v>
      </c>
      <c r="I167" s="2">
        <v>410.35399999999998</v>
      </c>
      <c r="J167" s="2">
        <f>122.174+22.602</f>
        <v>144.77600000000001</v>
      </c>
      <c r="X167" s="2"/>
      <c r="Y167" s="2">
        <v>347.76400000000001</v>
      </c>
      <c r="Z167" s="2">
        <v>1094.241</v>
      </c>
      <c r="AA167" s="2">
        <v>410.35399999999998</v>
      </c>
      <c r="AB167" s="2">
        <f>423.599+10.131</f>
        <v>433.73</v>
      </c>
      <c r="AC167" s="2">
        <f>122.174+22.602</f>
        <v>144.77600000000001</v>
      </c>
      <c r="AD167" s="2">
        <f>3013.212+22.602</f>
        <v>3035.8139999999999</v>
      </c>
    </row>
    <row r="168" spans="2:30">
      <c r="C168" s="1" t="s">
        <v>130</v>
      </c>
      <c r="F168" s="2">
        <v>0</v>
      </c>
      <c r="G168" s="2">
        <v>0</v>
      </c>
      <c r="H168" s="2">
        <v>0</v>
      </c>
      <c r="I168" s="2">
        <v>0</v>
      </c>
      <c r="J168" s="2">
        <v>733.20299999999997</v>
      </c>
      <c r="K168" s="1">
        <f>J168*K144/J144</f>
        <v>859.06372871405222</v>
      </c>
      <c r="L168" s="1">
        <f t="shared" ref="L168:U168" si="162">K168*L144/K144</f>
        <v>1016.615928103972</v>
      </c>
      <c r="M168" s="1">
        <f t="shared" si="162"/>
        <v>1147.909427595572</v>
      </c>
      <c r="N168" s="1">
        <f t="shared" si="162"/>
        <v>1182.1383052946733</v>
      </c>
      <c r="O168" s="1">
        <f t="shared" si="162"/>
        <v>1210.6623700439243</v>
      </c>
      <c r="P168" s="1">
        <f t="shared" si="162"/>
        <v>1234.4324240016335</v>
      </c>
      <c r="Q168" s="1">
        <f t="shared" si="162"/>
        <v>1254.2408022997245</v>
      </c>
      <c r="R168" s="1">
        <f t="shared" si="162"/>
        <v>1195.5654123375682</v>
      </c>
      <c r="S168" s="1">
        <f t="shared" si="162"/>
        <v>1146.6692540357712</v>
      </c>
      <c r="T168" s="1">
        <f t="shared" si="162"/>
        <v>1105.9224554509406</v>
      </c>
      <c r="U168" s="1">
        <f t="shared" si="162"/>
        <v>1071.9667899635815</v>
      </c>
      <c r="X168" s="2"/>
      <c r="Y168" s="2">
        <v>0</v>
      </c>
      <c r="Z168" s="2">
        <v>0</v>
      </c>
      <c r="AA168" s="2">
        <v>0</v>
      </c>
      <c r="AB168" s="2">
        <v>449.59800000000001</v>
      </c>
      <c r="AC168" s="2">
        <v>733.20299999999997</v>
      </c>
      <c r="AD168" s="2">
        <v>857.702</v>
      </c>
    </row>
    <row r="169" spans="2:30">
      <c r="C169" s="18" t="s">
        <v>131</v>
      </c>
      <c r="F169" s="2">
        <v>245.20400000000001</v>
      </c>
      <c r="G169" s="2">
        <v>273.24900000000002</v>
      </c>
      <c r="H169" s="2">
        <v>308.57900000000001</v>
      </c>
      <c r="I169" s="2">
        <v>378.03899999999999</v>
      </c>
      <c r="J169" s="2">
        <v>502.78399999999999</v>
      </c>
      <c r="X169" s="2"/>
      <c r="Y169" s="2">
        <v>308.57900000000001</v>
      </c>
      <c r="Z169" s="2">
        <v>372.42599999999999</v>
      </c>
      <c r="AA169" s="2">
        <v>378.03899999999999</v>
      </c>
      <c r="AB169" s="2">
        <v>436.80900000000003</v>
      </c>
      <c r="AC169" s="2">
        <v>502.78399999999999</v>
      </c>
      <c r="AD169" s="2">
        <v>538.64300000000003</v>
      </c>
    </row>
    <row r="171" spans="2:30" s="6" customFormat="1">
      <c r="B171" s="6" t="s">
        <v>132</v>
      </c>
      <c r="F171" s="6">
        <f t="shared" ref="F171:I171" si="163">F173+F174+F175+F176</f>
        <v>5.2810000000000006</v>
      </c>
      <c r="G171" s="6">
        <f t="shared" si="163"/>
        <v>35.464999999999996</v>
      </c>
      <c r="H171" s="6">
        <f t="shared" si="163"/>
        <v>26.707000000000001</v>
      </c>
      <c r="I171" s="6">
        <f t="shared" si="163"/>
        <v>9.0969999999999995</v>
      </c>
      <c r="J171" s="6">
        <f>J173+J174+J175+J176</f>
        <v>4323.8280000000004</v>
      </c>
      <c r="X171" s="6">
        <f t="shared" ref="X171:AA171" si="164">X173+X174+X175+X176</f>
        <v>0</v>
      </c>
      <c r="Y171" s="6">
        <f>Y173+Y174+Y175+Y176</f>
        <v>26.707000000000001</v>
      </c>
      <c r="Z171" s="6">
        <f t="shared" si="164"/>
        <v>22.09</v>
      </c>
      <c r="AA171" s="6">
        <f t="shared" si="164"/>
        <v>9.0969999999999995</v>
      </c>
      <c r="AB171" s="6">
        <f>AB173+AB174+AB175+AB176</f>
        <v>3803.8620000000001</v>
      </c>
      <c r="AC171" s="6">
        <f>AC173+AC174+AC175+AC176</f>
        <v>4323.8280000000004</v>
      </c>
      <c r="AD171" s="6">
        <f t="shared" ref="AD171" si="165">AD173+AD174+AD175+AD176</f>
        <v>5565.1369999999997</v>
      </c>
    </row>
    <row r="173" spans="2:30">
      <c r="C173" s="18" t="s">
        <v>133</v>
      </c>
      <c r="F173" s="2">
        <v>3.29</v>
      </c>
      <c r="G173" s="2">
        <v>21.742999999999999</v>
      </c>
      <c r="H173" s="2">
        <v>13.398</v>
      </c>
      <c r="I173" s="2">
        <v>1.6180000000000001</v>
      </c>
      <c r="J173" s="2">
        <v>46.76</v>
      </c>
      <c r="X173" s="2"/>
      <c r="Y173" s="2">
        <v>13.398</v>
      </c>
      <c r="Z173" s="2">
        <v>1.0269999999999999</v>
      </c>
      <c r="AA173" s="2">
        <v>1.6180000000000001</v>
      </c>
      <c r="AB173" s="2">
        <v>6.4089999999999998</v>
      </c>
      <c r="AC173" s="2">
        <v>46.76</v>
      </c>
      <c r="AD173" s="2">
        <v>10.72</v>
      </c>
    </row>
    <row r="174" spans="2:30">
      <c r="C174" s="1" t="s">
        <v>129</v>
      </c>
      <c r="F174" s="2">
        <v>0</v>
      </c>
      <c r="G174" s="2">
        <v>11.111000000000001</v>
      </c>
      <c r="H174" s="2">
        <v>9.4559999999999995</v>
      </c>
      <c r="I174" s="2">
        <v>0</v>
      </c>
      <c r="J174" s="2">
        <v>84.757999999999996</v>
      </c>
      <c r="X174" s="2"/>
      <c r="Y174" s="2">
        <v>9.4559999999999995</v>
      </c>
      <c r="Z174" s="2">
        <v>17.241</v>
      </c>
      <c r="AA174" s="2">
        <v>0</v>
      </c>
      <c r="AB174" s="2">
        <v>86.114999999999995</v>
      </c>
      <c r="AC174" s="2">
        <v>84.757999999999996</v>
      </c>
      <c r="AD174" s="2">
        <f>291.971+73.457</f>
        <v>365.428</v>
      </c>
    </row>
    <row r="175" spans="2:30">
      <c r="C175" s="1" t="s">
        <v>130</v>
      </c>
      <c r="F175" s="2">
        <v>0</v>
      </c>
      <c r="G175" s="2">
        <v>0</v>
      </c>
      <c r="H175" s="2">
        <v>0</v>
      </c>
      <c r="I175" s="2">
        <v>0</v>
      </c>
      <c r="J175" s="2">
        <v>4142.96</v>
      </c>
      <c r="K175" s="1">
        <f>J175*K144/J144</f>
        <v>4854.1354379526138</v>
      </c>
      <c r="L175" s="1">
        <f t="shared" ref="L175:U175" si="166">K175*L144/K144</f>
        <v>5744.3833774515824</v>
      </c>
      <c r="M175" s="1">
        <f t="shared" si="166"/>
        <v>6486.2566603673895</v>
      </c>
      <c r="N175" s="1">
        <f t="shared" si="166"/>
        <v>6679.6667680077962</v>
      </c>
      <c r="O175" s="1">
        <f t="shared" si="166"/>
        <v>6840.8418577081338</v>
      </c>
      <c r="P175" s="1">
        <f t="shared" si="166"/>
        <v>6975.1544324584156</v>
      </c>
      <c r="Q175" s="1">
        <f t="shared" si="166"/>
        <v>7087.0815780836501</v>
      </c>
      <c r="R175" s="1">
        <f t="shared" si="166"/>
        <v>6755.5365713152441</v>
      </c>
      <c r="S175" s="1">
        <f t="shared" si="166"/>
        <v>6479.2490656749069</v>
      </c>
      <c r="T175" s="1">
        <f t="shared" si="166"/>
        <v>6249.0094776412925</v>
      </c>
      <c r="U175" s="1">
        <f t="shared" si="166"/>
        <v>6057.1431542799464</v>
      </c>
      <c r="X175" s="2"/>
      <c r="Y175" s="2">
        <v>0</v>
      </c>
      <c r="Z175" s="2">
        <v>0</v>
      </c>
      <c r="AA175" s="2">
        <v>0</v>
      </c>
      <c r="AB175" s="2">
        <v>3703.145</v>
      </c>
      <c r="AC175" s="2">
        <v>4142.96</v>
      </c>
      <c r="AD175" s="2">
        <v>5130.2049999999999</v>
      </c>
    </row>
    <row r="176" spans="2:30">
      <c r="C176" s="18" t="s">
        <v>134</v>
      </c>
      <c r="F176" s="2">
        <v>1.9910000000000001</v>
      </c>
      <c r="G176" s="2">
        <v>2.6110000000000002</v>
      </c>
      <c r="H176" s="2">
        <v>3.8530000000000002</v>
      </c>
      <c r="I176" s="2">
        <v>7.4790000000000001</v>
      </c>
      <c r="J176" s="2">
        <v>49.35</v>
      </c>
      <c r="X176" s="2"/>
      <c r="Y176" s="2">
        <v>3.8530000000000002</v>
      </c>
      <c r="Z176" s="2">
        <v>3.8220000000000001</v>
      </c>
      <c r="AA176" s="2">
        <v>7.4790000000000001</v>
      </c>
      <c r="AB176" s="2">
        <v>8.1929999999999996</v>
      </c>
      <c r="AC176" s="2">
        <v>49.35</v>
      </c>
      <c r="AD176" s="2">
        <v>58.783999999999999</v>
      </c>
    </row>
    <row r="178" spans="2:31" s="6" customFormat="1">
      <c r="B178" s="6" t="s">
        <v>135</v>
      </c>
      <c r="F178" s="6">
        <f>F160+F171</f>
        <v>1249.6999999999998</v>
      </c>
      <c r="G178" s="6">
        <f t="shared" ref="G178:J178" si="167">G160+G171</f>
        <v>1677.7829999999999</v>
      </c>
      <c r="H178" s="6">
        <f t="shared" si="167"/>
        <v>2644.8440000000001</v>
      </c>
      <c r="I178" s="6">
        <f t="shared" si="167"/>
        <v>3315.0850000000005</v>
      </c>
      <c r="J178" s="6">
        <f t="shared" si="167"/>
        <v>9987.8990000000013</v>
      </c>
      <c r="X178" s="6">
        <f t="shared" ref="X178:AD178" si="168">X160+X171</f>
        <v>0</v>
      </c>
      <c r="Y178" s="6">
        <f>Y160+Y171</f>
        <v>2644.8440000000001</v>
      </c>
      <c r="Z178" s="6">
        <f t="shared" si="168"/>
        <v>3336.605</v>
      </c>
      <c r="AA178" s="6">
        <f>AA160+AA171</f>
        <v>3315.0850000000005</v>
      </c>
      <c r="AB178" s="6">
        <f t="shared" si="168"/>
        <v>7727.3260000000009</v>
      </c>
      <c r="AC178" s="6">
        <f t="shared" si="168"/>
        <v>9987.8990000000013</v>
      </c>
      <c r="AD178" s="6">
        <f t="shared" si="168"/>
        <v>14111.700999999997</v>
      </c>
    </row>
    <row r="180" spans="2:31">
      <c r="B180" s="1" t="s">
        <v>136</v>
      </c>
      <c r="F180" s="1">
        <f>F181+F182</f>
        <v>719.22799999999995</v>
      </c>
      <c r="G180" s="1">
        <f t="shared" ref="G180:J180" si="169">G181+G182</f>
        <v>802.01700000000005</v>
      </c>
      <c r="H180" s="1">
        <f t="shared" si="169"/>
        <v>1089.085</v>
      </c>
      <c r="I180" s="1">
        <f t="shared" si="169"/>
        <v>8624.9719999999998</v>
      </c>
      <c r="J180" s="1">
        <f t="shared" si="169"/>
        <v>10623.000999999998</v>
      </c>
      <c r="X180" s="1">
        <f t="shared" ref="X180:AD180" si="170">X181+X182</f>
        <v>0</v>
      </c>
      <c r="Y180" s="1">
        <f t="shared" si="170"/>
        <v>1089.085</v>
      </c>
      <c r="Z180" s="1">
        <f t="shared" si="170"/>
        <v>1156.6849999999999</v>
      </c>
      <c r="AA180" s="1">
        <f t="shared" si="170"/>
        <v>8624.9719999999998</v>
      </c>
      <c r="AB180" s="1">
        <f t="shared" si="170"/>
        <v>9190.9599999999991</v>
      </c>
      <c r="AC180" s="1">
        <f t="shared" si="170"/>
        <v>10623.000999999998</v>
      </c>
      <c r="AD180" s="1">
        <f t="shared" si="170"/>
        <v>8921.5919999999987</v>
      </c>
    </row>
    <row r="181" spans="2:31">
      <c r="C181" s="1" t="s">
        <v>137</v>
      </c>
      <c r="F181" s="2">
        <v>0</v>
      </c>
      <c r="G181" s="2">
        <v>0</v>
      </c>
      <c r="H181" s="2">
        <v>0.107</v>
      </c>
      <c r="I181" s="2">
        <v>0.17499999999999999</v>
      </c>
      <c r="J181" s="2">
        <v>0.17499999999999999</v>
      </c>
      <c r="X181" s="2"/>
      <c r="Y181" s="2">
        <v>0.107</v>
      </c>
      <c r="Z181" s="2">
        <v>0.107</v>
      </c>
      <c r="AA181" s="2">
        <v>0.17499999999999999</v>
      </c>
      <c r="AB181" s="2">
        <v>0.17499999999999999</v>
      </c>
      <c r="AC181" s="2">
        <v>0.17499999999999999</v>
      </c>
      <c r="AD181" s="2">
        <v>0.17499999999999999</v>
      </c>
    </row>
    <row r="182" spans="2:31">
      <c r="C182" s="1" t="s">
        <v>138</v>
      </c>
      <c r="F182" s="2">
        <v>719.22799999999995</v>
      </c>
      <c r="G182" s="2">
        <v>802.01700000000005</v>
      </c>
      <c r="H182" s="2">
        <v>1088.9780000000001</v>
      </c>
      <c r="I182" s="2">
        <v>8624.7970000000005</v>
      </c>
      <c r="J182" s="2">
        <v>10622.825999999999</v>
      </c>
      <c r="X182" s="2"/>
      <c r="Y182" s="2">
        <v>1088.9780000000001</v>
      </c>
      <c r="Z182" s="2">
        <v>1156.578</v>
      </c>
      <c r="AA182" s="2">
        <v>8624.7970000000005</v>
      </c>
      <c r="AB182" s="2">
        <v>9190.7849999999999</v>
      </c>
      <c r="AC182" s="2">
        <v>10622.825999999999</v>
      </c>
      <c r="AD182" s="2">
        <v>8921.4169999999995</v>
      </c>
    </row>
    <row r="184" spans="2:31">
      <c r="B184" s="1" t="s">
        <v>139</v>
      </c>
      <c r="F184" s="2">
        <v>437.69</v>
      </c>
      <c r="G184" s="2">
        <v>269.72300000000001</v>
      </c>
      <c r="H184" s="2">
        <v>1.8959999999999999</v>
      </c>
      <c r="I184" s="2">
        <v>4.5860000000000003</v>
      </c>
      <c r="J184" s="2">
        <v>3.032</v>
      </c>
      <c r="X184" s="2"/>
      <c r="Y184" s="2">
        <v>1.8959999999999999</v>
      </c>
      <c r="Z184" s="2">
        <v>35.241</v>
      </c>
      <c r="AA184" s="2">
        <v>4.5860000000000003</v>
      </c>
      <c r="AB184" s="2">
        <v>5.7160000000000002</v>
      </c>
      <c r="AC184" s="2">
        <v>3.032</v>
      </c>
      <c r="AD184" s="2">
        <v>3.1269999999999998</v>
      </c>
    </row>
    <row r="186" spans="2:31" s="6" customFormat="1">
      <c r="B186" s="6" t="s">
        <v>140</v>
      </c>
      <c r="F186" s="6">
        <f>F180+F184</f>
        <v>1156.9179999999999</v>
      </c>
      <c r="G186" s="6">
        <f t="shared" ref="G186:J186" si="171">G180+G184</f>
        <v>1071.74</v>
      </c>
      <c r="H186" s="6">
        <f t="shared" si="171"/>
        <v>1090.981</v>
      </c>
      <c r="I186" s="6">
        <f t="shared" si="171"/>
        <v>8629.5579999999991</v>
      </c>
      <c r="J186" s="6">
        <f t="shared" si="171"/>
        <v>10626.032999999998</v>
      </c>
      <c r="X186" s="6">
        <f t="shared" ref="X186:AD186" si="172">X180+X184</f>
        <v>0</v>
      </c>
      <c r="Y186" s="6">
        <f>Y180+Y184</f>
        <v>1090.981</v>
      </c>
      <c r="Z186" s="6">
        <f t="shared" si="172"/>
        <v>1191.9259999999999</v>
      </c>
      <c r="AA186" s="6">
        <f>AA180+AA184</f>
        <v>8629.5579999999991</v>
      </c>
      <c r="AB186" s="6">
        <f t="shared" si="172"/>
        <v>9196.6759999999995</v>
      </c>
      <c r="AC186" s="6">
        <f t="shared" si="172"/>
        <v>10626.032999999998</v>
      </c>
      <c r="AD186" s="6">
        <f t="shared" si="172"/>
        <v>8924.7189999999991</v>
      </c>
    </row>
    <row r="187" spans="2:31" s="24" customFormat="1">
      <c r="C187" s="24" t="s">
        <v>141</v>
      </c>
      <c r="F187" s="24">
        <f>F158-F178-F186</f>
        <v>0</v>
      </c>
      <c r="G187" s="24">
        <f t="shared" ref="G187:J187" si="173">G158-G178-G186</f>
        <v>0</v>
      </c>
      <c r="H187" s="24">
        <f t="shared" si="173"/>
        <v>0</v>
      </c>
      <c r="I187" s="24">
        <f t="shared" si="173"/>
        <v>0</v>
      </c>
      <c r="J187" s="24">
        <f t="shared" si="173"/>
        <v>0</v>
      </c>
      <c r="X187" s="24">
        <f t="shared" ref="X187:AD187" si="174">X158-X178-X186</f>
        <v>0</v>
      </c>
      <c r="Y187" s="24">
        <f t="shared" si="174"/>
        <v>0</v>
      </c>
      <c r="Z187" s="24">
        <f t="shared" si="174"/>
        <v>0</v>
      </c>
      <c r="AA187" s="24">
        <f t="shared" si="174"/>
        <v>0</v>
      </c>
      <c r="AB187" s="24">
        <f t="shared" si="174"/>
        <v>0</v>
      </c>
      <c r="AC187" s="24">
        <f t="shared" si="174"/>
        <v>0</v>
      </c>
      <c r="AD187" s="24">
        <f t="shared" si="174"/>
        <v>0</v>
      </c>
    </row>
    <row r="189" spans="2:31" s="6" customFormat="1">
      <c r="B189" s="6" t="s">
        <v>142</v>
      </c>
    </row>
    <row r="191" spans="2:31" s="6" customFormat="1">
      <c r="B191" s="6" t="s">
        <v>143</v>
      </c>
      <c r="F191" s="6">
        <f>SUM(F192:F199)</f>
        <v>529.78</v>
      </c>
      <c r="G191" s="6">
        <f>SUM(G192:G199)</f>
        <v>227.32200000000014</v>
      </c>
      <c r="H191" s="6">
        <f t="shared" ref="H191:J191" si="175">SUM(H192:H199)</f>
        <v>-1077.075</v>
      </c>
      <c r="I191" s="6">
        <f t="shared" si="175"/>
        <v>-948.43699999999967</v>
      </c>
      <c r="J191" s="6">
        <f t="shared" si="175"/>
        <v>-1322.769</v>
      </c>
      <c r="X191" s="6">
        <f t="shared" ref="X191:AE191" si="176">SUM(X192:X199)</f>
        <v>0</v>
      </c>
      <c r="Y191" s="6">
        <f t="shared" si="176"/>
        <v>-1077.075</v>
      </c>
      <c r="Z191" s="6">
        <f t="shared" si="176"/>
        <v>-927.78899999999987</v>
      </c>
      <c r="AA191" s="6">
        <f t="shared" si="176"/>
        <v>-948.43699999999967</v>
      </c>
      <c r="AB191" s="6">
        <f t="shared" si="176"/>
        <v>-607.10500000000059</v>
      </c>
      <c r="AC191" s="6">
        <f t="shared" si="176"/>
        <v>-1322.769</v>
      </c>
      <c r="AD191" s="6">
        <f t="shared" si="176"/>
        <v>-1436.1819999999998</v>
      </c>
      <c r="AE191" s="6">
        <f t="shared" si="176"/>
        <v>0</v>
      </c>
    </row>
    <row r="192" spans="2:31">
      <c r="C192" s="1" t="s">
        <v>144</v>
      </c>
      <c r="F192" s="1">
        <f>F150</f>
        <v>175.47300000000001</v>
      </c>
      <c r="G192" s="1">
        <f>G150</f>
        <v>246.678</v>
      </c>
      <c r="H192" s="1">
        <f>H150</f>
        <v>497.61599999999999</v>
      </c>
      <c r="I192" s="1">
        <f>I150</f>
        <v>845.11800000000005</v>
      </c>
      <c r="J192" s="1">
        <f>J150</f>
        <v>1615.5509999999999</v>
      </c>
      <c r="X192" s="1">
        <f>X150</f>
        <v>0</v>
      </c>
      <c r="Y192" s="1">
        <f>Y150</f>
        <v>497.61599999999999</v>
      </c>
      <c r="Z192" s="1">
        <f t="shared" ref="Z192:AE193" si="177">Z150</f>
        <v>568.53800000000001</v>
      </c>
      <c r="AA192" s="1">
        <f>AA150</f>
        <v>845.11800000000005</v>
      </c>
      <c r="AB192" s="1">
        <f t="shared" si="177"/>
        <v>1353.2529999999999</v>
      </c>
      <c r="AC192" s="1">
        <f>AC150</f>
        <v>1615.5509999999999</v>
      </c>
      <c r="AD192" s="1">
        <f t="shared" si="177"/>
        <v>1603.4110000000001</v>
      </c>
      <c r="AE192" s="1">
        <f t="shared" si="177"/>
        <v>0</v>
      </c>
    </row>
    <row r="193" spans="2:31">
      <c r="C193" s="1" t="s">
        <v>118</v>
      </c>
      <c r="F193" s="1">
        <f>F151+F102</f>
        <v>1053.655</v>
      </c>
      <c r="G193" s="1">
        <f>G151+G102</f>
        <v>912.76</v>
      </c>
      <c r="H193" s="1">
        <f>H151+H102</f>
        <v>444.21300000000002</v>
      </c>
      <c r="I193" s="1">
        <f>I151</f>
        <v>201.261</v>
      </c>
      <c r="J193" s="1">
        <f>J151</f>
        <v>300.97300000000001</v>
      </c>
      <c r="X193" s="1">
        <f>X151</f>
        <v>0</v>
      </c>
      <c r="Y193" s="1">
        <f>Y151</f>
        <v>444.21300000000002</v>
      </c>
      <c r="Z193" s="1">
        <f t="shared" si="177"/>
        <v>43.558999999999997</v>
      </c>
      <c r="AA193" s="1">
        <f>AA151</f>
        <v>201.261</v>
      </c>
      <c r="AB193" s="1">
        <f t="shared" si="177"/>
        <v>250.92500000000001</v>
      </c>
      <c r="AC193" s="1">
        <f>AC151</f>
        <v>300.97300000000001</v>
      </c>
      <c r="AD193" s="1">
        <f t="shared" si="177"/>
        <v>253.57499999999999</v>
      </c>
      <c r="AE193" s="1">
        <f t="shared" si="177"/>
        <v>0</v>
      </c>
    </row>
    <row r="194" spans="2:31">
      <c r="C194" s="1" t="s">
        <v>116</v>
      </c>
      <c r="F194" s="1">
        <f>F149</f>
        <v>41.064999999999998</v>
      </c>
      <c r="G194" s="1">
        <f>G149</f>
        <v>49.707000000000001</v>
      </c>
      <c r="H194" s="1">
        <f>H149</f>
        <v>95.117999999999995</v>
      </c>
      <c r="I194" s="1">
        <f>I149</f>
        <v>457.12400000000002</v>
      </c>
      <c r="J194" s="1">
        <f>J149</f>
        <v>1199.6659999999999</v>
      </c>
      <c r="X194" s="1">
        <f>X149</f>
        <v>0</v>
      </c>
      <c r="Y194" s="1">
        <f>Y149</f>
        <v>95.117999999999995</v>
      </c>
      <c r="Z194" s="1">
        <f t="shared" ref="Z194:AE194" si="178">Z149</f>
        <v>325.43900000000002</v>
      </c>
      <c r="AA194" s="1">
        <f>AA149</f>
        <v>457.12400000000002</v>
      </c>
      <c r="AB194" s="1">
        <f t="shared" si="178"/>
        <v>458.13799999999998</v>
      </c>
      <c r="AC194" s="1">
        <f>AC149</f>
        <v>1199.6659999999999</v>
      </c>
      <c r="AD194" s="1">
        <f t="shared" si="178"/>
        <v>907.90800000000002</v>
      </c>
      <c r="AE194" s="1">
        <f t="shared" si="178"/>
        <v>0</v>
      </c>
    </row>
    <row r="195" spans="2:31">
      <c r="C195" s="1" t="s">
        <v>94</v>
      </c>
      <c r="F195" s="1">
        <f>F107</f>
        <v>52.719000000000001</v>
      </c>
      <c r="G195" s="1">
        <f>G107</f>
        <v>68.397999999999996</v>
      </c>
      <c r="H195" s="1">
        <f>H107</f>
        <v>120.848</v>
      </c>
      <c r="I195" s="1">
        <f>I107</f>
        <v>232.749</v>
      </c>
      <c r="J195" s="1">
        <f>J107</f>
        <v>269.26900000000001</v>
      </c>
      <c r="X195" s="1">
        <f t="shared" ref="X195:AE195" si="179">X107</f>
        <v>0</v>
      </c>
      <c r="Y195" s="1">
        <f t="shared" si="179"/>
        <v>120.848</v>
      </c>
      <c r="Z195" s="1">
        <f t="shared" si="179"/>
        <v>163.96199999999999</v>
      </c>
      <c r="AA195" s="1">
        <f t="shared" si="179"/>
        <v>232.749</v>
      </c>
      <c r="AB195" s="1">
        <f t="shared" si="179"/>
        <v>229.72900000000001</v>
      </c>
      <c r="AC195" s="1">
        <f t="shared" si="179"/>
        <v>269.26900000000001</v>
      </c>
      <c r="AD195" s="1">
        <f t="shared" si="179"/>
        <v>301.26600000000002</v>
      </c>
      <c r="AE195" s="1">
        <f t="shared" si="179"/>
        <v>0</v>
      </c>
    </row>
    <row r="196" spans="2:31">
      <c r="C196" s="1" t="s">
        <v>145</v>
      </c>
      <c r="F196" s="1">
        <f>-F162-F163</f>
        <v>-385.01499999999999</v>
      </c>
      <c r="G196" s="1">
        <f t="shared" ref="G196:J196" si="180">-G162-G163</f>
        <v>-483.74699999999996</v>
      </c>
      <c r="H196" s="1">
        <f t="shared" si="180"/>
        <v>-679.45399999999995</v>
      </c>
      <c r="I196" s="1">
        <f t="shared" si="180"/>
        <v>-1635.7919999999999</v>
      </c>
      <c r="J196" s="1">
        <f t="shared" si="180"/>
        <v>-2983.3969999999999</v>
      </c>
      <c r="X196" s="1">
        <f t="shared" ref="X196:AE196" si="181">-X162-X163</f>
        <v>0</v>
      </c>
      <c r="Y196" s="1">
        <f>-Y162-Y163</f>
        <v>-679.45399999999995</v>
      </c>
      <c r="Z196" s="1">
        <f t="shared" si="181"/>
        <v>-1001.227</v>
      </c>
      <c r="AA196" s="1">
        <f>-AA162-AA163</f>
        <v>-1635.7919999999999</v>
      </c>
      <c r="AB196" s="1">
        <f t="shared" si="181"/>
        <v>-2118.3110000000001</v>
      </c>
      <c r="AC196" s="1">
        <f>-AC162-AC163</f>
        <v>-2983.3969999999999</v>
      </c>
      <c r="AD196" s="1">
        <f t="shared" si="181"/>
        <v>-2952.538</v>
      </c>
      <c r="AE196" s="1">
        <f t="shared" si="181"/>
        <v>0</v>
      </c>
    </row>
    <row r="197" spans="2:31">
      <c r="C197" s="26" t="s">
        <v>126</v>
      </c>
      <c r="F197" s="1">
        <f>-F164</f>
        <v>-154.31899999999999</v>
      </c>
      <c r="G197" s="1">
        <f t="shared" ref="G197:J197" si="182">-G164</f>
        <v>-212.505</v>
      </c>
      <c r="H197" s="1">
        <f t="shared" si="182"/>
        <v>-1202.588</v>
      </c>
      <c r="I197" s="1">
        <f t="shared" si="182"/>
        <v>-592.66300000000001</v>
      </c>
      <c r="J197" s="1">
        <f t="shared" si="182"/>
        <v>-1071.8050000000001</v>
      </c>
      <c r="X197" s="1">
        <f t="shared" ref="X197:AE197" si="183">-X164</f>
        <v>0</v>
      </c>
      <c r="Y197" s="1">
        <f>-Y164</f>
        <v>-1202.588</v>
      </c>
      <c r="Z197" s="1">
        <f t="shared" si="183"/>
        <v>-651.18499999999995</v>
      </c>
      <c r="AA197" s="1">
        <f>-AA164</f>
        <v>-592.66300000000001</v>
      </c>
      <c r="AB197" s="1">
        <f t="shared" si="183"/>
        <v>-370.48399999999998</v>
      </c>
      <c r="AC197" s="1">
        <f>-AC164</f>
        <v>-1071.8050000000001</v>
      </c>
      <c r="AD197" s="1">
        <f t="shared" si="183"/>
        <v>-1119.067</v>
      </c>
      <c r="AE197" s="1">
        <f t="shared" si="183"/>
        <v>0</v>
      </c>
    </row>
    <row r="198" spans="2:31">
      <c r="C198" s="1" t="s">
        <v>131</v>
      </c>
      <c r="F198" s="1">
        <f>-F169</f>
        <v>-245.20400000000001</v>
      </c>
      <c r="G198" s="1">
        <f t="shared" ref="G198:J198" si="184">-G169</f>
        <v>-273.24900000000002</v>
      </c>
      <c r="H198" s="1">
        <f t="shared" si="184"/>
        <v>-308.57900000000001</v>
      </c>
      <c r="I198" s="1">
        <f t="shared" si="184"/>
        <v>-378.03899999999999</v>
      </c>
      <c r="J198" s="1">
        <f t="shared" si="184"/>
        <v>-502.78399999999999</v>
      </c>
      <c r="X198" s="1">
        <f t="shared" ref="X198:AE198" si="185">-X169</f>
        <v>0</v>
      </c>
      <c r="Y198" s="1">
        <f>-Y169</f>
        <v>-308.57900000000001</v>
      </c>
      <c r="Z198" s="1">
        <f t="shared" si="185"/>
        <v>-372.42599999999999</v>
      </c>
      <c r="AA198" s="1">
        <f>-AA169</f>
        <v>-378.03899999999999</v>
      </c>
      <c r="AB198" s="1">
        <f t="shared" si="185"/>
        <v>-436.80900000000003</v>
      </c>
      <c r="AC198" s="1">
        <f>-AC169</f>
        <v>-502.78399999999999</v>
      </c>
      <c r="AD198" s="1">
        <f t="shared" si="185"/>
        <v>-538.64300000000003</v>
      </c>
      <c r="AE198" s="1">
        <f t="shared" si="185"/>
        <v>0</v>
      </c>
    </row>
    <row r="199" spans="2:31">
      <c r="C199" s="1" t="s">
        <v>146</v>
      </c>
      <c r="F199" s="1">
        <f>F105-F166-F173-F176</f>
        <v>-8.594000000000003</v>
      </c>
      <c r="G199" s="1">
        <f>G105-G166-G173-G176</f>
        <v>-80.72</v>
      </c>
      <c r="H199" s="1">
        <f>H105-H166-H173-H176</f>
        <v>-44.249000000000002</v>
      </c>
      <c r="I199" s="1">
        <f>I105-I166-I173-I176</f>
        <v>-78.194999999999979</v>
      </c>
      <c r="J199" s="1">
        <f>J105-J166-J173-J176</f>
        <v>-150.24199999999996</v>
      </c>
      <c r="X199" s="1">
        <f t="shared" ref="X199:AE199" si="186">X105-X166-X173-X176</f>
        <v>0</v>
      </c>
      <c r="Y199" s="1">
        <f t="shared" si="186"/>
        <v>-44.249000000000002</v>
      </c>
      <c r="Z199" s="1">
        <f t="shared" si="186"/>
        <v>-4.4489999999999945</v>
      </c>
      <c r="AA199" s="1">
        <f t="shared" si="186"/>
        <v>-78.194999999999979</v>
      </c>
      <c r="AB199" s="1">
        <f t="shared" si="186"/>
        <v>26.454000000000001</v>
      </c>
      <c r="AC199" s="1">
        <f t="shared" si="186"/>
        <v>-150.24199999999996</v>
      </c>
      <c r="AD199" s="1">
        <f t="shared" si="186"/>
        <v>107.90600000000001</v>
      </c>
      <c r="AE199" s="1">
        <f t="shared" si="186"/>
        <v>0</v>
      </c>
    </row>
    <row r="201" spans="2:31" s="4" customFormat="1">
      <c r="B201" s="4" t="s">
        <v>147</v>
      </c>
      <c r="C201" s="4" t="s">
        <v>3</v>
      </c>
      <c r="F201" s="5" t="s">
        <v>4</v>
      </c>
      <c r="G201" s="5" t="s">
        <v>5</v>
      </c>
      <c r="H201" s="5" t="s">
        <v>6</v>
      </c>
      <c r="I201" s="5" t="s">
        <v>7</v>
      </c>
      <c r="J201" s="5" t="s">
        <v>8</v>
      </c>
      <c r="K201" s="5" t="s">
        <v>9</v>
      </c>
      <c r="L201" s="5" t="s">
        <v>10</v>
      </c>
      <c r="M201" s="5" t="s">
        <v>11</v>
      </c>
      <c r="N201" s="5" t="s">
        <v>12</v>
      </c>
      <c r="O201" s="5" t="s">
        <v>13</v>
      </c>
      <c r="P201" s="5" t="s">
        <v>14</v>
      </c>
      <c r="Q201" s="5" t="s">
        <v>15</v>
      </c>
      <c r="R201" s="5" t="s">
        <v>16</v>
      </c>
      <c r="S201" s="5" t="s">
        <v>17</v>
      </c>
      <c r="T201" s="5" t="s">
        <v>18</v>
      </c>
      <c r="U201" s="5" t="s">
        <v>19</v>
      </c>
      <c r="X201" s="5" t="s">
        <v>20</v>
      </c>
      <c r="Y201" s="5" t="s">
        <v>21</v>
      </c>
      <c r="Z201" s="5" t="s">
        <v>22</v>
      </c>
      <c r="AA201" s="5" t="s">
        <v>23</v>
      </c>
      <c r="AB201" s="5" t="s">
        <v>24</v>
      </c>
      <c r="AC201" s="5" t="s">
        <v>25</v>
      </c>
      <c r="AD201" s="5" t="s">
        <v>26</v>
      </c>
      <c r="AE201" s="5" t="s">
        <v>27</v>
      </c>
    </row>
    <row r="202" spans="2:31" s="6" customFormat="1">
      <c r="B202" s="6" t="s">
        <v>148</v>
      </c>
      <c r="F202" s="7">
        <v>641.98900000000003</v>
      </c>
      <c r="G202" s="7">
        <v>1414.0609999999999</v>
      </c>
      <c r="H202" s="7">
        <v>1399.7159999999999</v>
      </c>
      <c r="I202" s="7">
        <v>2384.9070000000002</v>
      </c>
      <c r="J202" s="7">
        <v>4580.4840000000004</v>
      </c>
      <c r="X202" s="7">
        <v>617.03899999999999</v>
      </c>
      <c r="Y202" s="6">
        <f>H202-X202</f>
        <v>782.67699999999991</v>
      </c>
      <c r="Z202" s="7">
        <v>1002.908</v>
      </c>
      <c r="AA202" s="6">
        <f>I202-Z202</f>
        <v>1381.9990000000003</v>
      </c>
      <c r="AB202" s="7">
        <v>1467.6420000000001</v>
      </c>
      <c r="AC202" s="6">
        <f>J202-AB202</f>
        <v>3112.8420000000006</v>
      </c>
      <c r="AD202" s="7">
        <v>336.76499999999999</v>
      </c>
    </row>
    <row r="203" spans="2:31">
      <c r="C203" s="1" t="s">
        <v>73</v>
      </c>
      <c r="F203" s="1">
        <f>F79</f>
        <v>410.68200000000007</v>
      </c>
      <c r="G203" s="1">
        <f>G79</f>
        <v>978.19099999999935</v>
      </c>
      <c r="H203" s="1">
        <f>H79</f>
        <v>1194.3420000000006</v>
      </c>
      <c r="I203" s="1">
        <f>I79</f>
        <v>1648.8459999999982</v>
      </c>
      <c r="J203" s="1">
        <f>J79</f>
        <v>2346.9620000000004</v>
      </c>
      <c r="X203" s="1">
        <f t="shared" ref="X203:AD203" si="187">X79</f>
        <v>553.14799999999968</v>
      </c>
      <c r="Y203" s="1">
        <f t="shared" si="187"/>
        <v>641.19400000000019</v>
      </c>
      <c r="Z203" s="1">
        <f t="shared" si="187"/>
        <v>647.41099999999915</v>
      </c>
      <c r="AA203" s="1">
        <f t="shared" si="187"/>
        <v>1001.4349999999979</v>
      </c>
      <c r="AB203" s="1">
        <f t="shared" si="187"/>
        <v>912.16500000000087</v>
      </c>
      <c r="AC203" s="1">
        <f t="shared" si="187"/>
        <v>1434.7970000000012</v>
      </c>
      <c r="AD203" s="1">
        <f t="shared" si="187"/>
        <v>-964.50700000000052</v>
      </c>
    </row>
    <row r="204" spans="2:31">
      <c r="C204" s="27" t="s">
        <v>149</v>
      </c>
      <c r="F204" s="2">
        <v>236.04900000000001</v>
      </c>
      <c r="G204" s="2">
        <v>281.39499999999998</v>
      </c>
      <c r="H204" s="2">
        <v>355.37700000000001</v>
      </c>
      <c r="I204" s="2">
        <v>679.59</v>
      </c>
      <c r="J204" s="2">
        <v>1233.117</v>
      </c>
      <c r="K204" s="1">
        <f>-K117</f>
        <v>2370.6547099594654</v>
      </c>
      <c r="L204" s="1">
        <f t="shared" ref="L204:U204" si="188">-L117</f>
        <v>3628.0572876979504</v>
      </c>
      <c r="M204" s="1">
        <f t="shared" si="188"/>
        <v>5215.7274872717489</v>
      </c>
      <c r="N204" s="1">
        <f t="shared" si="188"/>
        <v>7045.92750371078</v>
      </c>
      <c r="O204" s="1">
        <f t="shared" si="188"/>
        <v>8866.152073183257</v>
      </c>
      <c r="P204" s="1">
        <f t="shared" si="188"/>
        <v>10822.014422773154</v>
      </c>
      <c r="Q204" s="1">
        <f t="shared" si="188"/>
        <v>12933.2471227653</v>
      </c>
      <c r="R204" s="1">
        <f t="shared" si="188"/>
        <v>15217.912188947266</v>
      </c>
      <c r="S204" s="1">
        <f t="shared" si="188"/>
        <v>17446.567974811918</v>
      </c>
      <c r="T204" s="1">
        <f t="shared" si="188"/>
        <v>19742.353527118164</v>
      </c>
      <c r="U204" s="1">
        <f t="shared" si="188"/>
        <v>22143.926850717107</v>
      </c>
      <c r="X204" s="2">
        <v>160.77199999999999</v>
      </c>
      <c r="Y204" s="1">
        <f>H204-X204</f>
        <v>194.60500000000002</v>
      </c>
      <c r="Z204" s="2">
        <v>289.68599999999998</v>
      </c>
      <c r="AA204" s="1">
        <f>I204-Z204</f>
        <v>389.90400000000005</v>
      </c>
      <c r="AB204" s="2">
        <v>534.12699999999995</v>
      </c>
      <c r="AC204" s="1">
        <f>J204-AB204</f>
        <v>698.99</v>
      </c>
      <c r="AD204" s="2">
        <v>895.13499999999999</v>
      </c>
    </row>
    <row r="205" spans="2:31">
      <c r="C205" s="27" t="s">
        <v>150</v>
      </c>
      <c r="F205" s="2">
        <v>3.13</v>
      </c>
      <c r="G205" s="2">
        <v>4.5229999999999997</v>
      </c>
      <c r="H205" s="2">
        <v>4.4619999999999997</v>
      </c>
      <c r="I205" s="2">
        <v>9.7309999999999999</v>
      </c>
      <c r="J205" s="2">
        <v>20.158999999999999</v>
      </c>
      <c r="K205" s="1">
        <f>-K128</f>
        <v>43.520657248726259</v>
      </c>
      <c r="L205" s="1">
        <f t="shared" ref="L205:U205" si="189">-L128</f>
        <v>46.041443695440158</v>
      </c>
      <c r="M205" s="1">
        <f t="shared" si="189"/>
        <v>47.581518895062317</v>
      </c>
      <c r="N205" s="1">
        <f t="shared" si="189"/>
        <v>48.522428278157086</v>
      </c>
      <c r="O205" s="1">
        <f t="shared" si="189"/>
        <v>49.097277134507081</v>
      </c>
      <c r="P205" s="1">
        <f t="shared" si="189"/>
        <v>49.448481207485919</v>
      </c>
      <c r="Q205" s="1">
        <f t="shared" si="189"/>
        <v>49.663049436185396</v>
      </c>
      <c r="R205" s="1">
        <f t="shared" si="189"/>
        <v>49.794139956795604</v>
      </c>
      <c r="S205" s="1">
        <f t="shared" si="189"/>
        <v>49.874229747805273</v>
      </c>
      <c r="T205" s="1">
        <f t="shared" si="189"/>
        <v>49.92316062849838</v>
      </c>
      <c r="U205" s="1">
        <f t="shared" si="189"/>
        <v>49.953054964033754</v>
      </c>
      <c r="X205" s="2">
        <v>2.2250000000000001</v>
      </c>
      <c r="Y205" s="1">
        <f>H205-X205</f>
        <v>2.2369999999999997</v>
      </c>
      <c r="Z205" s="2">
        <v>3.8839999999999999</v>
      </c>
      <c r="AA205" s="1">
        <f>I205-Z205</f>
        <v>5.8469999999999995</v>
      </c>
      <c r="AB205" s="2">
        <v>8.24</v>
      </c>
      <c r="AC205" s="1">
        <f>J205-AB205</f>
        <v>11.918999999999999</v>
      </c>
      <c r="AD205" s="2">
        <v>14.63</v>
      </c>
    </row>
    <row r="206" spans="2:31">
      <c r="C206" s="27" t="s">
        <v>151</v>
      </c>
      <c r="F206" s="2">
        <v>0</v>
      </c>
      <c r="G206" s="2">
        <v>0</v>
      </c>
      <c r="H206" s="2">
        <v>0</v>
      </c>
      <c r="I206" s="2">
        <v>0</v>
      </c>
      <c r="J206" s="2">
        <v>638.048</v>
      </c>
      <c r="K206" s="1">
        <f>-K138</f>
        <v>792.63983333333329</v>
      </c>
      <c r="L206" s="1">
        <f t="shared" ref="L206:U206" si="190">-L138</f>
        <v>952.19986111111109</v>
      </c>
      <c r="M206" s="1">
        <f t="shared" si="190"/>
        <v>1126.8332175925925</v>
      </c>
      <c r="N206" s="1">
        <f t="shared" si="190"/>
        <v>1272.3610146604938</v>
      </c>
      <c r="O206" s="1">
        <f t="shared" si="190"/>
        <v>1310.3008455504116</v>
      </c>
      <c r="P206" s="1">
        <f t="shared" si="190"/>
        <v>1341.9173712920099</v>
      </c>
      <c r="Q206" s="1">
        <f t="shared" si="190"/>
        <v>1368.264476076675</v>
      </c>
      <c r="R206" s="1">
        <f t="shared" si="190"/>
        <v>1390.2203967305625</v>
      </c>
      <c r="S206" s="1">
        <f t="shared" si="190"/>
        <v>1325.1836639421356</v>
      </c>
      <c r="T206" s="1">
        <f t="shared" si="190"/>
        <v>1270.9863866184464</v>
      </c>
      <c r="U206" s="1">
        <f t="shared" si="190"/>
        <v>1225.8219888487056</v>
      </c>
      <c r="X206" s="2">
        <v>0</v>
      </c>
      <c r="Y206" s="1">
        <f>H206-X206</f>
        <v>0</v>
      </c>
      <c r="Z206" s="2">
        <v>0</v>
      </c>
      <c r="AA206" s="1">
        <f>I206-Z206</f>
        <v>0</v>
      </c>
      <c r="AB206" s="2">
        <v>287.77699999999999</v>
      </c>
      <c r="AC206" s="1">
        <f>J206-AB206</f>
        <v>350.27100000000002</v>
      </c>
      <c r="AD206" s="2">
        <v>387.22500000000002</v>
      </c>
    </row>
    <row r="207" spans="2:31">
      <c r="C207" s="27" t="s">
        <v>152</v>
      </c>
      <c r="G207" s="1">
        <f>-(G191-F191)</f>
        <v>302.45799999999986</v>
      </c>
      <c r="H207" s="1">
        <f>-(H191-G191)</f>
        <v>1304.3970000000002</v>
      </c>
      <c r="I207" s="1">
        <f t="shared" ref="I207:J207" si="191">-(I191-H191)</f>
        <v>-128.63800000000037</v>
      </c>
      <c r="J207" s="1">
        <f t="shared" si="191"/>
        <v>374.33200000000033</v>
      </c>
      <c r="Z207" s="1">
        <f>-(Z191-Y191)</f>
        <v>-149.28600000000017</v>
      </c>
      <c r="AA207" s="1">
        <f t="shared" ref="AA207:AD207" si="192">-(AA191-Z191)</f>
        <v>20.647999999999797</v>
      </c>
      <c r="AB207" s="1">
        <f t="shared" si="192"/>
        <v>-341.33199999999908</v>
      </c>
      <c r="AC207" s="1">
        <f t="shared" si="192"/>
        <v>715.66399999999942</v>
      </c>
      <c r="AD207" s="1">
        <f t="shared" si="192"/>
        <v>113.41299999999978</v>
      </c>
    </row>
    <row r="208" spans="2:31">
      <c r="C208" s="27" t="s">
        <v>153</v>
      </c>
      <c r="F208" s="1">
        <f>-F72-F70-F68</f>
        <v>-4.8509999999999991</v>
      </c>
      <c r="G208" s="1">
        <f>-G72-G70-G68</f>
        <v>-3.8450000000000006</v>
      </c>
      <c r="H208" s="1">
        <f>-H72-H70-H68</f>
        <v>-17.93</v>
      </c>
      <c r="I208" s="1">
        <f>-I72-I70-I68</f>
        <v>-14.311999999999998</v>
      </c>
      <c r="J208" s="1">
        <f>-J72-J70-J68</f>
        <v>76.467999999999989</v>
      </c>
      <c r="Z208" s="1">
        <f>-Z72-Z70-Z68</f>
        <v>-15.257000000000001</v>
      </c>
      <c r="AA208" s="1">
        <f>-AA72-AA70-AA68</f>
        <v>0.94500000000000028</v>
      </c>
      <c r="AB208" s="1">
        <f>-AB72-AB70-AB68</f>
        <v>86.631</v>
      </c>
      <c r="AC208" s="1">
        <f>-AC72-AC70-AC68</f>
        <v>-10.163000000000025</v>
      </c>
      <c r="AD208" s="1">
        <f>-AD72-AD70-AD68</f>
        <v>108.25</v>
      </c>
    </row>
    <row r="209" spans="2:30" s="28" customFormat="1">
      <c r="C209" s="28" t="s">
        <v>154</v>
      </c>
      <c r="F209" s="28">
        <f>F202-SUM(F203:F208)</f>
        <v>-3.0210000000000719</v>
      </c>
      <c r="G209" s="28">
        <f t="shared" ref="G209:J209" si="193">G202-SUM(G203:G208)</f>
        <v>-148.66099999999915</v>
      </c>
      <c r="H209" s="28">
        <f t="shared" si="193"/>
        <v>-1440.9320000000007</v>
      </c>
      <c r="I209" s="28">
        <f t="shared" si="193"/>
        <v>189.69000000000187</v>
      </c>
      <c r="J209" s="28">
        <f t="shared" si="193"/>
        <v>-108.60200000000077</v>
      </c>
      <c r="Z209" s="28">
        <f t="shared" ref="Z209:AD209" si="194">Z202-SUM(Z203:Z208)</f>
        <v>226.47000000000105</v>
      </c>
      <c r="AA209" s="28">
        <f t="shared" si="194"/>
        <v>-36.779999999997244</v>
      </c>
      <c r="AB209" s="28">
        <f t="shared" si="194"/>
        <v>-19.966000000001713</v>
      </c>
      <c r="AC209" s="28">
        <f t="shared" si="194"/>
        <v>-88.635999999999967</v>
      </c>
      <c r="AD209" s="28">
        <f t="shared" si="194"/>
        <v>-217.38099999999929</v>
      </c>
    </row>
    <row r="211" spans="2:30" s="6" customFormat="1">
      <c r="C211" s="6" t="s">
        <v>155</v>
      </c>
      <c r="F211" s="6">
        <f t="shared" ref="F211:I211" si="195">F202+F224</f>
        <v>641.98900000000003</v>
      </c>
      <c r="G211" s="6">
        <f t="shared" si="195"/>
        <v>1414.0609999999999</v>
      </c>
      <c r="H211" s="6">
        <f t="shared" si="195"/>
        <v>1399.7159999999999</v>
      </c>
      <c r="I211" s="6">
        <f t="shared" si="195"/>
        <v>2384.9070000000002</v>
      </c>
      <c r="J211" s="6">
        <f>J202+J224</f>
        <v>3881.4300000000003</v>
      </c>
    </row>
    <row r="214" spans="2:30" s="6" customFormat="1">
      <c r="B214" s="6" t="s">
        <v>156</v>
      </c>
      <c r="F214" s="7">
        <v>-915.92</v>
      </c>
      <c r="G214" s="7">
        <v>-1280.876</v>
      </c>
      <c r="H214" s="7">
        <v>-1564.855</v>
      </c>
      <c r="I214" s="7">
        <v>-3863.5889999999999</v>
      </c>
      <c r="J214" s="7">
        <v>-5026.2759999999998</v>
      </c>
      <c r="X214" s="7">
        <v>-713.89499999999998</v>
      </c>
      <c r="Y214" s="6">
        <f>H214-X214</f>
        <v>-850.96</v>
      </c>
      <c r="Z214" s="7">
        <v>-398.697</v>
      </c>
      <c r="AA214" s="6">
        <f>I214-Z214</f>
        <v>-3464.8919999999998</v>
      </c>
      <c r="AB214" s="7">
        <v>-1843.482</v>
      </c>
      <c r="AC214" s="6">
        <f>J214-AB214</f>
        <v>-3182.7939999999999</v>
      </c>
      <c r="AD214" s="7">
        <v>-2413.1309999999999</v>
      </c>
    </row>
    <row r="215" spans="2:30">
      <c r="C215" s="1" t="s">
        <v>157</v>
      </c>
      <c r="F215" s="2">
        <v>-399.92500000000001</v>
      </c>
      <c r="G215" s="2">
        <v>-429.46600000000001</v>
      </c>
      <c r="H215" s="2">
        <v>-1242.904</v>
      </c>
      <c r="I215" s="2">
        <v>-2508.2629999999999</v>
      </c>
      <c r="J215" s="2">
        <v>-4880.8069999999998</v>
      </c>
      <c r="K215" s="1">
        <f>-K113</f>
        <v>-6449.2316841201718</v>
      </c>
      <c r="L215" s="1">
        <f t="shared" ref="L215:U215" si="196">-L113</f>
        <v>-8777.9076484227462</v>
      </c>
      <c r="M215" s="1">
        <f t="shared" si="196"/>
        <v>-11152.260286959765</v>
      </c>
      <c r="N215" s="1">
        <f t="shared" si="196"/>
        <v>-12950.103420229425</v>
      </c>
      <c r="O215" s="1">
        <f t="shared" si="196"/>
        <v>-15210.289809891716</v>
      </c>
      <c r="P215" s="1">
        <f t="shared" si="196"/>
        <v>-17670.119579969658</v>
      </c>
      <c r="Q215" s="1">
        <f t="shared" si="196"/>
        <v>-20343.906602530671</v>
      </c>
      <c r="R215" s="1">
        <f t="shared" si="196"/>
        <v>-22446.897028397856</v>
      </c>
      <c r="S215" s="1">
        <f t="shared" si="196"/>
        <v>-24893.298446836208</v>
      </c>
      <c r="T215" s="1">
        <f t="shared" si="196"/>
        <v>-27532.222764547398</v>
      </c>
      <c r="U215" s="1">
        <f t="shared" si="196"/>
        <v>-30376.806267912616</v>
      </c>
      <c r="X215" s="2">
        <v>-311.99900000000002</v>
      </c>
      <c r="Y215" s="1">
        <f>H215-X215</f>
        <v>-930.90499999999997</v>
      </c>
      <c r="Z215" s="2">
        <v>-901.44600000000003</v>
      </c>
      <c r="AA215" s="1">
        <f>I215-Z215</f>
        <v>-1606.817</v>
      </c>
      <c r="AB215" s="2">
        <v>-1763.0630000000001</v>
      </c>
      <c r="AC215" s="1">
        <f>J215-AB215</f>
        <v>-3117.7439999999997</v>
      </c>
      <c r="AD215" s="2">
        <v>-1807.7080000000001</v>
      </c>
    </row>
    <row r="216" spans="2:30">
      <c r="C216" s="1" t="s">
        <v>158</v>
      </c>
      <c r="F216" s="2">
        <v>-12.512</v>
      </c>
      <c r="G216" s="2">
        <v>-0.22600000000000001</v>
      </c>
      <c r="H216" s="2">
        <v>-0.17299999999999999</v>
      </c>
      <c r="I216" s="2">
        <v>-50.805999999999997</v>
      </c>
      <c r="J216" s="2">
        <v>-63.118000000000002</v>
      </c>
      <c r="K216" s="1">
        <f>-K127</f>
        <v>-50</v>
      </c>
      <c r="L216" s="1">
        <f t="shared" ref="L216:U216" si="197">-L127</f>
        <v>-50</v>
      </c>
      <c r="M216" s="1">
        <f t="shared" si="197"/>
        <v>-50</v>
      </c>
      <c r="N216" s="1">
        <f t="shared" si="197"/>
        <v>-50</v>
      </c>
      <c r="O216" s="1">
        <f t="shared" si="197"/>
        <v>-50</v>
      </c>
      <c r="P216" s="1">
        <f t="shared" si="197"/>
        <v>-50</v>
      </c>
      <c r="Q216" s="1">
        <f t="shared" si="197"/>
        <v>-50</v>
      </c>
      <c r="R216" s="1">
        <f t="shared" si="197"/>
        <v>-50</v>
      </c>
      <c r="S216" s="1">
        <f t="shared" si="197"/>
        <v>-50</v>
      </c>
      <c r="T216" s="1">
        <f t="shared" si="197"/>
        <v>-50</v>
      </c>
      <c r="U216" s="1">
        <f t="shared" si="197"/>
        <v>-50</v>
      </c>
      <c r="X216" s="2">
        <v>-2.8000000000000001E-2</v>
      </c>
      <c r="Y216" s="1">
        <f>H216-X216</f>
        <v>-0.14499999999999999</v>
      </c>
      <c r="Z216" s="2">
        <v>-25.151</v>
      </c>
      <c r="AA216" s="1">
        <f>I216-Z216</f>
        <v>-25.654999999999998</v>
      </c>
      <c r="AB216" s="2">
        <v>-20.882000000000001</v>
      </c>
      <c r="AC216" s="1">
        <f>J216-AB216</f>
        <v>-42.236000000000004</v>
      </c>
      <c r="AD216" s="2">
        <v>-5.6950000000000003</v>
      </c>
    </row>
    <row r="217" spans="2:30">
      <c r="C217" s="1" t="s">
        <v>159</v>
      </c>
      <c r="F217" s="2">
        <v>0</v>
      </c>
      <c r="G217" s="2">
        <v>0</v>
      </c>
      <c r="H217" s="2">
        <v>0</v>
      </c>
      <c r="I217" s="2">
        <v>0</v>
      </c>
      <c r="J217" s="2">
        <v>-99.62</v>
      </c>
      <c r="X217" s="2">
        <v>0</v>
      </c>
      <c r="Y217" s="1">
        <f>H217-X217</f>
        <v>0</v>
      </c>
      <c r="Z217" s="2">
        <v>0</v>
      </c>
      <c r="AA217" s="1">
        <f>I217-Z217</f>
        <v>0</v>
      </c>
      <c r="AB217" s="2">
        <v>-101.06</v>
      </c>
      <c r="AC217" s="1">
        <f>J217-AB217</f>
        <v>1.4399999999999977</v>
      </c>
      <c r="AD217" s="2">
        <v>-99.034999999999997</v>
      </c>
    </row>
    <row r="218" spans="2:30">
      <c r="C218" s="1" t="s">
        <v>160</v>
      </c>
      <c r="F218" s="2">
        <v>-1.639</v>
      </c>
      <c r="G218" s="1">
        <f>-(G155-F155)-(G106+G153-F106-F153)</f>
        <v>-34.573999999999998</v>
      </c>
      <c r="H218" s="1">
        <f>-(H155-G155)-(H106+H153-G106-G153)</f>
        <v>-11.443999999999996</v>
      </c>
      <c r="I218" s="1">
        <f>-(I155-H155)-(I106+I153-H106-H153)</f>
        <v>-1783.9590000000001</v>
      </c>
      <c r="J218" s="1">
        <f>-(J155-I155)-(J106+J153-I106-I153)</f>
        <v>-30.523000000000188</v>
      </c>
      <c r="Z218" s="1">
        <f>-(Z155-Y155)-(Z106+Z153-Y106-Y153)</f>
        <v>46.51</v>
      </c>
      <c r="AA218" s="1">
        <f>-(AA155-Z155)-(AA106+AA153-Z106-Z153)</f>
        <v>-1830.4690000000001</v>
      </c>
      <c r="AB218" s="1">
        <f>-(AB155-AA155)-(AB106+AB153-AA106-AA153)</f>
        <v>30.701999999999799</v>
      </c>
      <c r="AC218" s="1">
        <f>-(AC155-AB155)-(AC106+AC153-AB106-AB153)</f>
        <v>-61.224999999999987</v>
      </c>
      <c r="AD218" s="1">
        <f>-(AD155-AC155)-(AD106+AD153-AC106-AC153)</f>
        <v>731.71500000000015</v>
      </c>
    </row>
    <row r="219" spans="2:30" s="28" customFormat="1">
      <c r="C219" s="28" t="s">
        <v>154</v>
      </c>
      <c r="F219" s="28">
        <f>F214-SUM(F215:F218)</f>
        <v>-501.84399999999994</v>
      </c>
      <c r="G219" s="28">
        <f t="shared" ref="G219:H219" si="198">G214-SUM(G215:G218)</f>
        <v>-816.6099999999999</v>
      </c>
      <c r="H219" s="28">
        <f t="shared" si="198"/>
        <v>-310.33400000000006</v>
      </c>
      <c r="I219" s="28">
        <f t="shared" ref="I219:J219" si="199">I214-SUM(I215:I218)</f>
        <v>479.43900000000031</v>
      </c>
      <c r="J219" s="28">
        <f t="shared" si="199"/>
        <v>47.792000000000371</v>
      </c>
      <c r="Z219" s="28">
        <f t="shared" ref="Z219:AD219" si="200">Z214-SUM(Z215:Z218)</f>
        <v>481.39</v>
      </c>
      <c r="AA219" s="28">
        <f t="shared" si="200"/>
        <v>-1.9510000000000218</v>
      </c>
      <c r="AB219" s="28">
        <f t="shared" si="200"/>
        <v>10.821000000000367</v>
      </c>
      <c r="AC219" s="28">
        <f t="shared" si="200"/>
        <v>36.970999999999549</v>
      </c>
      <c r="AD219" s="28">
        <f t="shared" si="200"/>
        <v>-1232.4079999999999</v>
      </c>
    </row>
    <row r="221" spans="2:30" s="6" customFormat="1">
      <c r="B221" s="6" t="s">
        <v>161</v>
      </c>
      <c r="F221" s="7">
        <v>158.59100000000001</v>
      </c>
      <c r="G221" s="7">
        <v>157.73500000000001</v>
      </c>
      <c r="H221" s="7">
        <v>104.943</v>
      </c>
      <c r="I221" s="7">
        <v>5339.3980000000001</v>
      </c>
      <c r="J221" s="7">
        <v>-1489.7180000000001</v>
      </c>
      <c r="X221" s="7">
        <v>485.79399999999998</v>
      </c>
      <c r="Y221" s="6">
        <f>H221-X221</f>
        <v>-380.851</v>
      </c>
      <c r="Z221" s="7">
        <v>-373.971</v>
      </c>
      <c r="AA221" s="6">
        <f>I221-Z221</f>
        <v>5713.3690000000006</v>
      </c>
      <c r="AB221" s="7">
        <v>-732.49400000000003</v>
      </c>
      <c r="AC221" s="6">
        <f>J221-AB221</f>
        <v>-757.22400000000005</v>
      </c>
      <c r="AD221" s="7">
        <v>2097.9349999999999</v>
      </c>
    </row>
    <row r="222" spans="2:30">
      <c r="C222" s="1" t="s">
        <v>162</v>
      </c>
      <c r="F222" s="2">
        <f>-76.563+234.374</f>
        <v>157.81099999999998</v>
      </c>
      <c r="G222" s="1">
        <f>G174+G167-F174-F167</f>
        <v>164.17099999999999</v>
      </c>
      <c r="H222" s="1">
        <f>H174+H167-G174-G167</f>
        <v>-221.34199999999998</v>
      </c>
      <c r="I222" s="1">
        <f t="shared" ref="I222:J222" si="201">I174+I167-H174-H167</f>
        <v>53.133999999999958</v>
      </c>
      <c r="J222" s="1">
        <f t="shared" si="201"/>
        <v>-180.82</v>
      </c>
      <c r="Z222" s="1">
        <f t="shared" ref="Z222:AD222" si="202">Z174+Z167-Y174-Y167</f>
        <v>754.26200000000006</v>
      </c>
      <c r="AA222" s="1">
        <f t="shared" si="202"/>
        <v>-701.12799999999993</v>
      </c>
      <c r="AB222" s="1">
        <f t="shared" si="202"/>
        <v>109.49100000000004</v>
      </c>
      <c r="AC222" s="1">
        <f t="shared" si="202"/>
        <v>-290.31100000000004</v>
      </c>
      <c r="AD222" s="1">
        <f t="shared" si="202"/>
        <v>3171.7080000000001</v>
      </c>
    </row>
    <row r="223" spans="2:30">
      <c r="C223" s="1" t="s">
        <v>163</v>
      </c>
      <c r="F223" s="2">
        <v>5.3570000000000002</v>
      </c>
      <c r="G223" s="2">
        <v>-5.6000000000000001E-2</v>
      </c>
      <c r="H223" s="2">
        <f>1492.26-796.778</f>
        <v>695.48199999999997</v>
      </c>
      <c r="I223" s="2">
        <f>712.688-1428.472</f>
        <v>-715.78399999999999</v>
      </c>
      <c r="J223" s="2">
        <v>0</v>
      </c>
      <c r="X223" s="2">
        <f>531.001-0.161</f>
        <v>530.84</v>
      </c>
      <c r="Y223" s="1">
        <f>H223-X223</f>
        <v>164.64199999999994</v>
      </c>
      <c r="Z223" s="2">
        <f>712.688-1403.623</f>
        <v>-690.93500000000006</v>
      </c>
      <c r="AA223" s="1">
        <f>I223-Z223</f>
        <v>-24.848999999999933</v>
      </c>
      <c r="AB223" s="2">
        <v>0</v>
      </c>
      <c r="AC223" s="1">
        <f>J223-AB223</f>
        <v>0</v>
      </c>
      <c r="AD223" s="2">
        <v>0</v>
      </c>
    </row>
    <row r="224" spans="2:30">
      <c r="C224" s="1" t="s">
        <v>164</v>
      </c>
      <c r="F224" s="2">
        <v>0</v>
      </c>
      <c r="G224" s="2">
        <v>0</v>
      </c>
      <c r="H224" s="2">
        <v>0</v>
      </c>
      <c r="I224" s="2">
        <v>0</v>
      </c>
      <c r="J224" s="2">
        <v>-699.05399999999997</v>
      </c>
      <c r="K224" s="1">
        <f>-K206</f>
        <v>-792.63983333333329</v>
      </c>
      <c r="L224" s="1">
        <f t="shared" ref="L224:U224" si="203">-L206</f>
        <v>-952.19986111111109</v>
      </c>
      <c r="M224" s="1">
        <f t="shared" si="203"/>
        <v>-1126.8332175925925</v>
      </c>
      <c r="N224" s="1">
        <f t="shared" si="203"/>
        <v>-1272.3610146604938</v>
      </c>
      <c r="O224" s="1">
        <f t="shared" si="203"/>
        <v>-1310.3008455504116</v>
      </c>
      <c r="P224" s="1">
        <f t="shared" si="203"/>
        <v>-1341.9173712920099</v>
      </c>
      <c r="Q224" s="1">
        <f t="shared" si="203"/>
        <v>-1368.264476076675</v>
      </c>
      <c r="R224" s="1">
        <f t="shared" si="203"/>
        <v>-1390.2203967305625</v>
      </c>
      <c r="S224" s="1">
        <f t="shared" si="203"/>
        <v>-1325.1836639421356</v>
      </c>
      <c r="T224" s="1">
        <f t="shared" si="203"/>
        <v>-1270.9863866184464</v>
      </c>
      <c r="U224" s="1">
        <f t="shared" si="203"/>
        <v>-1225.8219888487056</v>
      </c>
      <c r="X224" s="2">
        <v>0</v>
      </c>
      <c r="Y224" s="1">
        <f>H224-X224</f>
        <v>0</v>
      </c>
      <c r="Z224" s="2">
        <v>0</v>
      </c>
      <c r="AA224" s="1">
        <f>I224-Z224</f>
        <v>0</v>
      </c>
      <c r="AB224" s="2">
        <v>-264.262</v>
      </c>
      <c r="AC224" s="1">
        <f>J224-AB224</f>
        <v>-434.79199999999997</v>
      </c>
      <c r="AD224" s="2">
        <v>-318.54500000000002</v>
      </c>
    </row>
    <row r="225" spans="2:30">
      <c r="C225" s="1" t="s">
        <v>165</v>
      </c>
      <c r="F225" s="2">
        <v>0</v>
      </c>
      <c r="G225" s="2">
        <v>0</v>
      </c>
      <c r="H225" s="2">
        <v>0</v>
      </c>
      <c r="I225" s="2">
        <v>-460.89</v>
      </c>
      <c r="J225" s="2">
        <v>-473.416</v>
      </c>
      <c r="X225" s="2">
        <v>0</v>
      </c>
      <c r="Y225" s="1">
        <f>H225-X225</f>
        <v>0</v>
      </c>
      <c r="Z225" s="2">
        <v>-460.89</v>
      </c>
      <c r="AA225" s="1">
        <f>I225-Z225</f>
        <v>0</v>
      </c>
      <c r="AB225" s="2">
        <v>-473.416</v>
      </c>
      <c r="AC225" s="1">
        <f>J225-AB225</f>
        <v>0</v>
      </c>
      <c r="AD225" s="2">
        <v>-703.41300000000001</v>
      </c>
    </row>
    <row r="226" spans="2:30">
      <c r="C226" s="1" t="s">
        <v>166</v>
      </c>
      <c r="F226" s="2">
        <v>0</v>
      </c>
      <c r="G226" s="2">
        <v>0</v>
      </c>
      <c r="H226" s="2">
        <v>0</v>
      </c>
      <c r="I226" s="2">
        <f>6632.014</f>
        <v>6632.0140000000001</v>
      </c>
      <c r="J226" s="2">
        <v>0</v>
      </c>
      <c r="X226" s="2">
        <v>0</v>
      </c>
      <c r="Y226" s="1">
        <f>H226-X226</f>
        <v>0</v>
      </c>
      <c r="Z226" s="2">
        <v>0</v>
      </c>
      <c r="AA226" s="1">
        <f>I226-Z226</f>
        <v>6632.0140000000001</v>
      </c>
      <c r="AB226" s="2">
        <v>0</v>
      </c>
      <c r="AC226" s="1">
        <f>J226-AB226</f>
        <v>0</v>
      </c>
      <c r="AD226" s="2">
        <v>0</v>
      </c>
    </row>
    <row r="227" spans="2:30" s="28" customFormat="1">
      <c r="C227" s="28" t="s">
        <v>154</v>
      </c>
      <c r="F227" s="28">
        <f>F221-SUM(F222:F226)</f>
        <v>-4.5769999999999698</v>
      </c>
      <c r="G227" s="28">
        <f t="shared" ref="G227:H227" si="204">G221-SUM(G222:G226)</f>
        <v>-6.379999999999967</v>
      </c>
      <c r="H227" s="28">
        <f t="shared" si="204"/>
        <v>-369.197</v>
      </c>
      <c r="I227" s="28">
        <f t="shared" ref="I227:J227" si="205">I221-SUM(I222:I226)</f>
        <v>-169.07600000000002</v>
      </c>
      <c r="J227" s="28">
        <f t="shared" si="205"/>
        <v>-136.42800000000011</v>
      </c>
      <c r="Z227" s="28">
        <f t="shared" ref="Z227:AD227" si="206">Z221-SUM(Z222:Z226)</f>
        <v>23.591999999999985</v>
      </c>
      <c r="AA227" s="28">
        <f t="shared" si="206"/>
        <v>-192.66799999999967</v>
      </c>
      <c r="AB227" s="28">
        <f t="shared" si="206"/>
        <v>-104.30700000000013</v>
      </c>
      <c r="AC227" s="28">
        <f t="shared" si="206"/>
        <v>-32.120999999999981</v>
      </c>
      <c r="AD227" s="28">
        <f t="shared" si="206"/>
        <v>-51.815000000000055</v>
      </c>
    </row>
    <row r="229" spans="2:30" s="6" customFormat="1">
      <c r="B229" s="6" t="s">
        <v>167</v>
      </c>
      <c r="F229" s="6">
        <f>F202+F214+F221</f>
        <v>-115.33999999999992</v>
      </c>
      <c r="G229" s="6">
        <f t="shared" ref="G229:J229" si="207">G202+G214+G221</f>
        <v>290.91999999999996</v>
      </c>
      <c r="H229" s="6">
        <f t="shared" si="207"/>
        <v>-60.196000000000126</v>
      </c>
      <c r="I229" s="6">
        <f t="shared" si="207"/>
        <v>3860.7160000000003</v>
      </c>
      <c r="J229" s="6">
        <f t="shared" si="207"/>
        <v>-1935.5099999999995</v>
      </c>
      <c r="X229" s="6">
        <f t="shared" ref="X229:AD229" si="208">X202+X214+X221</f>
        <v>388.93799999999999</v>
      </c>
      <c r="Y229" s="6">
        <f>Y202+Y214+Y221</f>
        <v>-449.13400000000013</v>
      </c>
      <c r="Z229" s="6">
        <f t="shared" si="208"/>
        <v>230.24</v>
      </c>
      <c r="AA229" s="6">
        <f>AA202+AA214+AA221</f>
        <v>3630.476000000001</v>
      </c>
      <c r="AB229" s="6">
        <f t="shared" si="208"/>
        <v>-1108.3339999999998</v>
      </c>
      <c r="AC229" s="6">
        <f>AC202+AC214+AC221</f>
        <v>-827.17599999999936</v>
      </c>
      <c r="AD229" s="6">
        <f t="shared" si="208"/>
        <v>21.56899999999996</v>
      </c>
    </row>
    <row r="230" spans="2:30">
      <c r="B230" s="1" t="s">
        <v>168</v>
      </c>
      <c r="F230" s="2">
        <v>-5.2999999999999999E-2</v>
      </c>
      <c r="G230" s="2">
        <v>-0.16</v>
      </c>
      <c r="H230" s="2">
        <v>-32.341000000000001</v>
      </c>
      <c r="I230" s="2">
        <v>-24.125</v>
      </c>
      <c r="J230" s="2">
        <v>38.848999999999997</v>
      </c>
      <c r="X230" s="2">
        <v>-16.048999999999999</v>
      </c>
      <c r="Y230" s="1">
        <f>H230-X230</f>
        <v>-16.292000000000002</v>
      </c>
      <c r="Z230" s="2">
        <v>18.831</v>
      </c>
      <c r="AA230" s="1">
        <f>I230-Z230</f>
        <v>-42.956000000000003</v>
      </c>
      <c r="AB230" s="2">
        <v>-7.585</v>
      </c>
      <c r="AC230" s="1">
        <f>J230-AB230</f>
        <v>46.433999999999997</v>
      </c>
      <c r="AD230" s="2">
        <v>4.1289999999999996</v>
      </c>
    </row>
    <row r="231" spans="2:30">
      <c r="B231" s="1" t="s">
        <v>169</v>
      </c>
      <c r="F231" s="2">
        <v>-24.14</v>
      </c>
      <c r="G231" s="2">
        <v>-41.478999999999999</v>
      </c>
      <c r="H231" s="2">
        <v>-32.307000000000002</v>
      </c>
      <c r="I231" s="2">
        <v>0</v>
      </c>
      <c r="J231" s="2">
        <v>0</v>
      </c>
      <c r="X231" s="2">
        <v>-28.460999999999999</v>
      </c>
      <c r="Y231" s="1">
        <f>H231-X231</f>
        <v>-3.8460000000000036</v>
      </c>
      <c r="Z231" s="2">
        <v>0</v>
      </c>
      <c r="AA231" s="1">
        <f>I231-Z231</f>
        <v>0</v>
      </c>
      <c r="AB231" s="2">
        <v>0</v>
      </c>
      <c r="AC231" s="1">
        <f>J231-AB231</f>
        <v>0</v>
      </c>
      <c r="AD231" s="2">
        <v>0</v>
      </c>
    </row>
    <row r="232" spans="2:30">
      <c r="B232" s="1" t="s">
        <v>98</v>
      </c>
      <c r="F232" s="2">
        <v>297.12799999999999</v>
      </c>
      <c r="G232" s="1">
        <f>F233</f>
        <v>157.595</v>
      </c>
      <c r="H232" s="1">
        <f>G233</f>
        <v>406.87599999999998</v>
      </c>
      <c r="I232" s="1">
        <f t="shared" ref="I232:J232" si="209">H233</f>
        <v>282.03199999999998</v>
      </c>
      <c r="J232" s="1">
        <f t="shared" si="209"/>
        <v>4118.6229999999996</v>
      </c>
      <c r="Z232" s="1">
        <f t="shared" ref="Z232:AD232" si="210">Y233</f>
        <v>282.03199999999998</v>
      </c>
      <c r="AA232" s="1">
        <f t="shared" si="210"/>
        <v>531.10299999999995</v>
      </c>
      <c r="AB232" s="1">
        <f t="shared" si="210"/>
        <v>4118.6229999999996</v>
      </c>
      <c r="AC232" s="1">
        <f t="shared" si="210"/>
        <v>3002.7040000000002</v>
      </c>
      <c r="AD232" s="1">
        <f t="shared" si="210"/>
        <v>2221.962</v>
      </c>
    </row>
    <row r="233" spans="2:30">
      <c r="B233" s="1" t="s">
        <v>170</v>
      </c>
      <c r="F233" s="1">
        <f t="shared" ref="F233:G233" si="211">F156</f>
        <v>157.595</v>
      </c>
      <c r="G233" s="1">
        <f t="shared" si="211"/>
        <v>406.87599999999998</v>
      </c>
      <c r="H233" s="1">
        <f>H156</f>
        <v>282.03199999999998</v>
      </c>
      <c r="I233" s="1">
        <f t="shared" ref="I233:J233" si="212">I156</f>
        <v>4118.6229999999996</v>
      </c>
      <c r="J233" s="1">
        <f t="shared" si="212"/>
        <v>2221.962</v>
      </c>
      <c r="Y233" s="1">
        <f t="shared" ref="Y233:AD233" si="213">Y156</f>
        <v>282.03199999999998</v>
      </c>
      <c r="Z233" s="1">
        <f t="shared" si="213"/>
        <v>531.10299999999995</v>
      </c>
      <c r="AA233" s="1">
        <f t="shared" si="213"/>
        <v>4118.6229999999996</v>
      </c>
      <c r="AB233" s="1">
        <f t="shared" si="213"/>
        <v>3002.7040000000002</v>
      </c>
      <c r="AC233" s="1">
        <f t="shared" si="213"/>
        <v>2221.962</v>
      </c>
      <c r="AD233" s="1">
        <f t="shared" si="213"/>
        <v>2247.66</v>
      </c>
    </row>
    <row r="234" spans="2:30" s="24" customFormat="1">
      <c r="C234" s="24" t="s">
        <v>141</v>
      </c>
      <c r="F234" s="24">
        <f t="shared" ref="F234:G234" si="214">F233-F232-F231-F229-F230</f>
        <v>-6.8327288271774478E-14</v>
      </c>
      <c r="G234" s="24">
        <f t="shared" si="214"/>
        <v>3.1835645231126364E-14</v>
      </c>
      <c r="H234" s="24">
        <f>H233-H232-H231-H229-H230</f>
        <v>1.3500311979441904E-13</v>
      </c>
      <c r="I234" s="24">
        <f t="shared" ref="I234:J234" si="215">I233-I232-I231-I229-I230</f>
        <v>-9.0949470177292824E-13</v>
      </c>
      <c r="J234" s="24">
        <f t="shared" si="215"/>
        <v>-6.3948846218409017E-14</v>
      </c>
      <c r="Z234" s="24">
        <f t="shared" ref="Z234:AD234" si="216">Z233-Z232-Z231-Z229-Z230</f>
        <v>-3.907985046680551E-14</v>
      </c>
      <c r="AA234" s="24">
        <f t="shared" si="216"/>
        <v>-1.4921397450962104E-12</v>
      </c>
      <c r="AB234" s="24">
        <f t="shared" si="216"/>
        <v>4.1833203567875898E-13</v>
      </c>
      <c r="AC234" s="24">
        <f t="shared" si="216"/>
        <v>-8.2422957348171622E-13</v>
      </c>
      <c r="AD234" s="24">
        <f t="shared" si="216"/>
        <v>-9.4146912488213275E-14</v>
      </c>
    </row>
    <row r="236" spans="2:30" s="6" customFormat="1">
      <c r="B236" s="6" t="s">
        <v>171</v>
      </c>
      <c r="F236" s="6">
        <f t="shared" ref="F236:I236" si="217">F211+F215+F216</f>
        <v>229.55200000000002</v>
      </c>
      <c r="G236" s="6">
        <f t="shared" si="217"/>
        <v>984.36899999999991</v>
      </c>
      <c r="H236" s="6">
        <f t="shared" si="217"/>
        <v>156.6389999999999</v>
      </c>
      <c r="I236" s="6">
        <f t="shared" si="217"/>
        <v>-174.16199999999975</v>
      </c>
      <c r="J236" s="6">
        <f>J211+J215+J216</f>
        <v>-1062.4949999999994</v>
      </c>
      <c r="X236" s="6">
        <f t="shared" ref="X236:AD236" si="218">X202+X215+X216</f>
        <v>305.01199999999994</v>
      </c>
      <c r="Y236" s="6">
        <f t="shared" si="218"/>
        <v>-148.37300000000008</v>
      </c>
      <c r="Z236" s="6">
        <f t="shared" si="218"/>
        <v>76.310999999999993</v>
      </c>
      <c r="AA236" s="6">
        <f t="shared" si="218"/>
        <v>-250.47299999999976</v>
      </c>
      <c r="AB236" s="6">
        <f t="shared" si="218"/>
        <v>-316.30300000000005</v>
      </c>
      <c r="AC236" s="6">
        <f t="shared" si="218"/>
        <v>-47.137999999999138</v>
      </c>
      <c r="AD236" s="6">
        <f t="shared" si="218"/>
        <v>-1476.6380000000001</v>
      </c>
    </row>
    <row r="237" spans="2:30" s="12" customFormat="1">
      <c r="C237" s="12" t="s">
        <v>172</v>
      </c>
      <c r="F237" s="12">
        <f t="shared" ref="F237:G237" si="219">F236/F$5</f>
        <v>3.9875747870040418E-2</v>
      </c>
      <c r="G237" s="12">
        <f t="shared" si="219"/>
        <v>0.12607691958923553</v>
      </c>
      <c r="H237" s="12">
        <f>H236/H$5</f>
        <v>1.47256272109969E-2</v>
      </c>
      <c r="I237" s="12">
        <f t="shared" ref="I237:J237" si="220">I236/I$5</f>
        <v>-1.0263478911668842E-2</v>
      </c>
      <c r="J237" s="12">
        <f t="shared" si="220"/>
        <v>-4.0009915727612241E-2</v>
      </c>
      <c r="X237" s="12">
        <f t="shared" ref="X237:AD237" si="221">X236/X$5</f>
        <v>6.4131167256965577E-2</v>
      </c>
      <c r="Y237" s="12">
        <f t="shared" si="221"/>
        <v>-2.5228762281918119E-2</v>
      </c>
      <c r="Z237" s="12">
        <f t="shared" si="221"/>
        <v>1.0392850313865141E-2</v>
      </c>
      <c r="AA237" s="12">
        <f t="shared" si="221"/>
        <v>-2.6019232830856942E-2</v>
      </c>
      <c r="AB237" s="12">
        <f t="shared" si="221"/>
        <v>-2.7046867509914387E-2</v>
      </c>
      <c r="AC237" s="12">
        <f t="shared" si="221"/>
        <v>-3.1718910884919213E-3</v>
      </c>
      <c r="AD237" s="12">
        <f t="shared" si="221"/>
        <v>-0.15128549920829704</v>
      </c>
    </row>
    <row r="238" spans="2:30" s="12" customFormat="1">
      <c r="C238" s="12" t="s">
        <v>173</v>
      </c>
    </row>
    <row r="241" spans="2:31" s="4" customFormat="1">
      <c r="B241" s="4" t="s">
        <v>174</v>
      </c>
      <c r="C241" s="4" t="s">
        <v>3</v>
      </c>
      <c r="F241" s="5" t="s">
        <v>4</v>
      </c>
      <c r="G241" s="5" t="s">
        <v>5</v>
      </c>
      <c r="H241" s="5" t="s">
        <v>6</v>
      </c>
      <c r="I241" s="5" t="s">
        <v>7</v>
      </c>
      <c r="J241" s="5" t="s">
        <v>8</v>
      </c>
      <c r="K241" s="5" t="s">
        <v>9</v>
      </c>
      <c r="L241" s="5" t="s">
        <v>10</v>
      </c>
      <c r="M241" s="5" t="s">
        <v>11</v>
      </c>
      <c r="N241" s="5" t="s">
        <v>12</v>
      </c>
      <c r="O241" s="5" t="s">
        <v>13</v>
      </c>
      <c r="P241" s="5" t="s">
        <v>14</v>
      </c>
      <c r="Q241" s="5" t="s">
        <v>15</v>
      </c>
      <c r="R241" s="5" t="s">
        <v>16</v>
      </c>
      <c r="S241" s="5" t="s">
        <v>17</v>
      </c>
      <c r="T241" s="5" t="s">
        <v>18</v>
      </c>
      <c r="U241" s="5" t="s">
        <v>19</v>
      </c>
      <c r="X241" s="5"/>
      <c r="Y241" s="5"/>
      <c r="Z241" s="5"/>
      <c r="AA241" s="5"/>
      <c r="AB241" s="5"/>
      <c r="AC241" s="5"/>
      <c r="AD241" s="5"/>
      <c r="AE241" s="5"/>
    </row>
    <row r="246" spans="2:31" s="4" customFormat="1">
      <c r="B246" s="4" t="s">
        <v>175</v>
      </c>
      <c r="C246" s="4" t="s">
        <v>3</v>
      </c>
      <c r="F246" s="5" t="s">
        <v>4</v>
      </c>
      <c r="G246" s="5" t="s">
        <v>5</v>
      </c>
      <c r="H246" s="5" t="s">
        <v>6</v>
      </c>
      <c r="I246" s="5" t="s">
        <v>7</v>
      </c>
      <c r="J246" s="5" t="s">
        <v>8</v>
      </c>
      <c r="K246" s="5" t="s">
        <v>9</v>
      </c>
      <c r="L246" s="5" t="s">
        <v>10</v>
      </c>
      <c r="M246" s="5" t="s">
        <v>11</v>
      </c>
      <c r="N246" s="5" t="s">
        <v>12</v>
      </c>
      <c r="O246" s="5" t="s">
        <v>13</v>
      </c>
      <c r="P246" s="5" t="s">
        <v>14</v>
      </c>
      <c r="Q246" s="5" t="s">
        <v>15</v>
      </c>
      <c r="R246" s="5" t="s">
        <v>16</v>
      </c>
      <c r="S246" s="5" t="s">
        <v>17</v>
      </c>
      <c r="T246" s="5" t="s">
        <v>18</v>
      </c>
      <c r="U246" s="5" t="s">
        <v>19</v>
      </c>
      <c r="X246" s="5" t="s">
        <v>20</v>
      </c>
      <c r="Y246" s="5" t="s">
        <v>21</v>
      </c>
      <c r="Z246" s="5" t="s">
        <v>22</v>
      </c>
      <c r="AA246" s="5" t="s">
        <v>23</v>
      </c>
      <c r="AB246" s="5" t="s">
        <v>24</v>
      </c>
      <c r="AC246" s="5" t="s">
        <v>25</v>
      </c>
      <c r="AD246" s="5" t="s">
        <v>26</v>
      </c>
      <c r="AE246" s="5" t="s">
        <v>27</v>
      </c>
    </row>
    <row r="247" spans="2:31">
      <c r="B247" s="29" t="s">
        <v>176</v>
      </c>
      <c r="C247" s="67" t="s">
        <v>219</v>
      </c>
    </row>
    <row r="248" spans="2:31">
      <c r="C248" s="1" t="s">
        <v>177</v>
      </c>
      <c r="F248" s="2">
        <v>70.737499999999997</v>
      </c>
      <c r="G248" s="2">
        <v>71.877900000000011</v>
      </c>
      <c r="H248" s="2">
        <v>72.917000000000002</v>
      </c>
      <c r="I248" s="2">
        <v>73.710800000000006</v>
      </c>
      <c r="J248" s="2">
        <v>74.564700000000002</v>
      </c>
      <c r="K248" s="1">
        <f>J248*(1+K249)</f>
        <v>75.310347000000007</v>
      </c>
      <c r="L248" s="1">
        <f t="shared" ref="L248:P248" si="222">K248*(1+L249)</f>
        <v>76.063450470000006</v>
      </c>
      <c r="M248" s="1">
        <f t="shared" si="222"/>
        <v>76.824084974700014</v>
      </c>
      <c r="N248" s="1">
        <f t="shared" si="222"/>
        <v>77.592325824447016</v>
      </c>
      <c r="O248" s="1">
        <f t="shared" si="222"/>
        <v>78.368249082691491</v>
      </c>
      <c r="P248" s="1">
        <f t="shared" si="222"/>
        <v>79.151931573518411</v>
      </c>
      <c r="Q248" s="1">
        <f>P248*(1+Q249)</f>
        <v>79.943450889253597</v>
      </c>
      <c r="R248" s="1">
        <f t="shared" ref="R248:U248" si="223">Q248*(1+R249)</f>
        <v>80.742885398146129</v>
      </c>
      <c r="S248" s="1">
        <f t="shared" si="223"/>
        <v>81.550314252127592</v>
      </c>
      <c r="T248" s="1">
        <f t="shared" si="223"/>
        <v>82.365817394648872</v>
      </c>
      <c r="U248" s="1">
        <f t="shared" si="223"/>
        <v>83.189475568595356</v>
      </c>
    </row>
    <row r="249" spans="2:31" s="8" customFormat="1">
      <c r="D249" s="8" t="s">
        <v>30</v>
      </c>
      <c r="G249" s="8">
        <f t="shared" ref="G249:I249" si="224">G248/F248-1</f>
        <v>1.6121576250221148E-2</v>
      </c>
      <c r="H249" s="8">
        <f t="shared" si="224"/>
        <v>1.4456460191519138E-2</v>
      </c>
      <c r="I249" s="8">
        <f t="shared" si="224"/>
        <v>1.0886350233827669E-2</v>
      </c>
      <c r="J249" s="8">
        <f>J248/I248-1</f>
        <v>1.1584462521095906E-2</v>
      </c>
      <c r="K249" s="9">
        <v>0.01</v>
      </c>
      <c r="L249" s="9">
        <v>0.01</v>
      </c>
      <c r="M249" s="9">
        <v>0.01</v>
      </c>
      <c r="N249" s="9">
        <v>0.01</v>
      </c>
      <c r="O249" s="9">
        <v>0.01</v>
      </c>
      <c r="P249" s="9">
        <v>0.01</v>
      </c>
      <c r="Q249" s="9">
        <v>0.01</v>
      </c>
      <c r="R249" s="9">
        <v>0.01</v>
      </c>
      <c r="S249" s="9">
        <v>0.01</v>
      </c>
      <c r="T249" s="9">
        <v>0.01</v>
      </c>
      <c r="U249" s="9">
        <v>0.01</v>
      </c>
    </row>
    <row r="250" spans="2:31">
      <c r="C250" s="1" t="s">
        <v>178</v>
      </c>
      <c r="F250" s="2">
        <v>246.26930000000007</v>
      </c>
      <c r="G250" s="2">
        <v>249.62579999999997</v>
      </c>
      <c r="H250" s="2">
        <v>253.40490000000003</v>
      </c>
      <c r="I250" s="2">
        <v>256.87750000000005</v>
      </c>
      <c r="J250" s="2">
        <v>261.62130000000002</v>
      </c>
      <c r="K250" s="1">
        <f>J250*(1+K251)</f>
        <v>265.54561949999999</v>
      </c>
      <c r="L250" s="1">
        <f t="shared" ref="L250:P250" si="225">K250*(1+L251)</f>
        <v>269.52880379249996</v>
      </c>
      <c r="M250" s="1">
        <f t="shared" si="225"/>
        <v>273.57173584938744</v>
      </c>
      <c r="N250" s="1">
        <f t="shared" si="225"/>
        <v>277.6753118871282</v>
      </c>
      <c r="O250" s="1">
        <f t="shared" si="225"/>
        <v>281.84044156543507</v>
      </c>
      <c r="P250" s="1">
        <f t="shared" si="225"/>
        <v>286.06804818891658</v>
      </c>
      <c r="Q250" s="1">
        <f>P250*(1+Q251)</f>
        <v>290.35906891175028</v>
      </c>
      <c r="R250" s="1">
        <f t="shared" ref="R250:U250" si="226">Q250*(1+R251)</f>
        <v>294.7144549454265</v>
      </c>
      <c r="S250" s="1">
        <f t="shared" si="226"/>
        <v>299.13517176960784</v>
      </c>
      <c r="T250" s="1">
        <f t="shared" si="226"/>
        <v>303.62219934615194</v>
      </c>
      <c r="U250" s="1">
        <f t="shared" si="226"/>
        <v>308.17653233634417</v>
      </c>
    </row>
    <row r="251" spans="2:31" s="8" customFormat="1">
      <c r="D251" s="8" t="s">
        <v>30</v>
      </c>
      <c r="G251" s="8">
        <f t="shared" ref="G251:I251" si="227">G250/F250-1</f>
        <v>1.3629388640808537E-2</v>
      </c>
      <c r="H251" s="8">
        <f t="shared" si="227"/>
        <v>1.5139060145225702E-2</v>
      </c>
      <c r="I251" s="8">
        <f t="shared" si="227"/>
        <v>1.3703760266672083E-2</v>
      </c>
      <c r="J251" s="8">
        <f>J250/I250-1</f>
        <v>1.8467168202742412E-2</v>
      </c>
      <c r="K251" s="9">
        <v>1.4999999999999999E-2</v>
      </c>
      <c r="L251" s="9">
        <v>1.4999999999999999E-2</v>
      </c>
      <c r="M251" s="9">
        <v>1.4999999999999999E-2</v>
      </c>
      <c r="N251" s="9">
        <v>1.4999999999999999E-2</v>
      </c>
      <c r="O251" s="9">
        <v>1.4999999999999999E-2</v>
      </c>
      <c r="P251" s="9">
        <v>1.4999999999999999E-2</v>
      </c>
      <c r="Q251" s="9">
        <v>1.4999999999999999E-2</v>
      </c>
      <c r="R251" s="9">
        <v>1.4999999999999999E-2</v>
      </c>
      <c r="S251" s="9">
        <v>1.4999999999999999E-2</v>
      </c>
      <c r="T251" s="9">
        <v>1.4999999999999999E-2</v>
      </c>
      <c r="U251" s="9">
        <v>1.4999999999999999E-2</v>
      </c>
    </row>
    <row r="253" spans="2:31" s="19" customFormat="1">
      <c r="B253" s="30" t="s">
        <v>179</v>
      </c>
      <c r="C253" s="30"/>
      <c r="D253" s="30"/>
      <c r="E253" s="30"/>
    </row>
    <row r="254" spans="2:31" s="6" customFormat="1">
      <c r="B254" s="6" t="s">
        <v>180</v>
      </c>
      <c r="F254" s="6">
        <f t="shared" ref="F254:I254" si="228">F255+F256+F257+F258</f>
        <v>146</v>
      </c>
      <c r="G254" s="6">
        <f t="shared" si="228"/>
        <v>176</v>
      </c>
      <c r="H254" s="6">
        <f t="shared" si="228"/>
        <v>273</v>
      </c>
      <c r="I254" s="6">
        <f t="shared" si="228"/>
        <v>466</v>
      </c>
      <c r="J254" s="6">
        <f>J255+J256+J257+J258</f>
        <v>768</v>
      </c>
      <c r="K254" s="6">
        <f>J254+K276</f>
        <v>1118</v>
      </c>
      <c r="L254" s="6">
        <f t="shared" ref="L254:U254" si="229">L287</f>
        <v>1518</v>
      </c>
      <c r="M254" s="6">
        <f t="shared" si="229"/>
        <v>1918</v>
      </c>
      <c r="N254" s="6">
        <f t="shared" si="229"/>
        <v>2218</v>
      </c>
      <c r="O254" s="6">
        <f t="shared" si="229"/>
        <v>2518</v>
      </c>
      <c r="P254" s="6">
        <f t="shared" si="229"/>
        <v>2818</v>
      </c>
      <c r="Q254" s="6">
        <f t="shared" si="229"/>
        <v>3118</v>
      </c>
      <c r="R254" s="6">
        <f t="shared" si="229"/>
        <v>3318</v>
      </c>
      <c r="S254" s="6">
        <f t="shared" si="229"/>
        <v>3518</v>
      </c>
      <c r="T254" s="6">
        <f t="shared" si="229"/>
        <v>3718</v>
      </c>
      <c r="U254" s="6">
        <f t="shared" si="229"/>
        <v>3918</v>
      </c>
      <c r="X254" s="6">
        <f t="shared" ref="X254:AB254" si="230">X255+X256+X257+X258</f>
        <v>203</v>
      </c>
      <c r="Y254" s="6">
        <f t="shared" si="230"/>
        <v>273</v>
      </c>
      <c r="Z254" s="6">
        <f t="shared" si="230"/>
        <v>341</v>
      </c>
      <c r="AA254" s="6">
        <f t="shared" si="230"/>
        <v>466</v>
      </c>
      <c r="AB254" s="6">
        <f t="shared" si="230"/>
        <v>593</v>
      </c>
      <c r="AC254" s="6">
        <f>AC255+AC256+AC257+AC258</f>
        <v>768</v>
      </c>
      <c r="AD254" s="6">
        <f>AD255+AD256+AD257+AD258</f>
        <v>935</v>
      </c>
    </row>
    <row r="255" spans="2:31">
      <c r="C255" s="1" t="s">
        <v>177</v>
      </c>
      <c r="F255" s="2">
        <v>50</v>
      </c>
      <c r="G255" s="2">
        <v>55</v>
      </c>
      <c r="H255" s="2">
        <v>65</v>
      </c>
      <c r="I255" s="2">
        <v>106</v>
      </c>
      <c r="J255" s="2">
        <v>190</v>
      </c>
      <c r="K255" s="1">
        <f t="shared" ref="K255:U258" si="231">J255+K277</f>
        <v>225</v>
      </c>
      <c r="L255" s="1">
        <f t="shared" si="231"/>
        <v>261</v>
      </c>
      <c r="M255" s="1">
        <f t="shared" si="231"/>
        <v>293</v>
      </c>
      <c r="N255" s="1">
        <f t="shared" si="231"/>
        <v>314</v>
      </c>
      <c r="O255" s="1">
        <f t="shared" si="231"/>
        <v>332</v>
      </c>
      <c r="P255" s="1">
        <f t="shared" si="231"/>
        <v>347</v>
      </c>
      <c r="Q255" s="1">
        <f t="shared" si="231"/>
        <v>362</v>
      </c>
      <c r="R255" s="1">
        <f t="shared" si="231"/>
        <v>372</v>
      </c>
      <c r="S255" s="1">
        <f t="shared" si="231"/>
        <v>382</v>
      </c>
      <c r="T255" s="1">
        <f t="shared" si="231"/>
        <v>392</v>
      </c>
      <c r="U255" s="1">
        <f t="shared" si="231"/>
        <v>402</v>
      </c>
      <c r="X255" s="2">
        <v>57</v>
      </c>
      <c r="Y255" s="2">
        <v>65</v>
      </c>
      <c r="Z255" s="2">
        <v>78</v>
      </c>
      <c r="AA255" s="2">
        <v>106</v>
      </c>
      <c r="AB255" s="2">
        <v>146</v>
      </c>
      <c r="AC255" s="2">
        <v>190</v>
      </c>
      <c r="AD255" s="2">
        <v>212</v>
      </c>
    </row>
    <row r="256" spans="2:31">
      <c r="C256" s="1" t="s">
        <v>178</v>
      </c>
      <c r="F256" s="2">
        <v>71</v>
      </c>
      <c r="G256" s="2">
        <v>83</v>
      </c>
      <c r="H256" s="2">
        <v>120</v>
      </c>
      <c r="I256" s="2">
        <v>207</v>
      </c>
      <c r="J256" s="2">
        <v>332</v>
      </c>
      <c r="K256" s="1">
        <f t="shared" si="231"/>
        <v>454.5</v>
      </c>
      <c r="L256" s="1">
        <f t="shared" si="231"/>
        <v>594.5</v>
      </c>
      <c r="M256" s="1">
        <f t="shared" si="231"/>
        <v>734.5</v>
      </c>
      <c r="N256" s="1">
        <f t="shared" si="231"/>
        <v>839.5</v>
      </c>
      <c r="O256" s="1">
        <f t="shared" si="231"/>
        <v>944.5</v>
      </c>
      <c r="P256" s="1">
        <f t="shared" si="231"/>
        <v>1049.5</v>
      </c>
      <c r="Q256" s="1">
        <f t="shared" si="231"/>
        <v>1154.5</v>
      </c>
      <c r="R256" s="1">
        <f t="shared" si="231"/>
        <v>1224.5</v>
      </c>
      <c r="S256" s="1">
        <f t="shared" si="231"/>
        <v>1294.5</v>
      </c>
      <c r="T256" s="1">
        <f t="shared" si="231"/>
        <v>1364.5</v>
      </c>
      <c r="U256" s="1">
        <f t="shared" si="231"/>
        <v>1434.5</v>
      </c>
      <c r="X256" s="2">
        <v>95</v>
      </c>
      <c r="Y256" s="2">
        <v>120</v>
      </c>
      <c r="Z256" s="2">
        <v>153</v>
      </c>
      <c r="AA256" s="2">
        <v>207</v>
      </c>
      <c r="AB256" s="2">
        <v>257</v>
      </c>
      <c r="AC256" s="2">
        <v>332</v>
      </c>
      <c r="AD256" s="2">
        <v>389</v>
      </c>
    </row>
    <row r="257" spans="3:30">
      <c r="C257" s="1" t="s">
        <v>181</v>
      </c>
      <c r="F257" s="2">
        <v>18</v>
      </c>
      <c r="G257" s="2">
        <v>29</v>
      </c>
      <c r="H257" s="2">
        <v>69</v>
      </c>
      <c r="I257" s="2">
        <v>117</v>
      </c>
      <c r="J257" s="2">
        <v>194</v>
      </c>
      <c r="K257" s="1">
        <f t="shared" si="231"/>
        <v>351.5</v>
      </c>
      <c r="L257" s="1">
        <f t="shared" si="231"/>
        <v>535.5</v>
      </c>
      <c r="M257" s="1">
        <f t="shared" si="231"/>
        <v>723.5</v>
      </c>
      <c r="N257" s="1">
        <f t="shared" si="231"/>
        <v>867.5</v>
      </c>
      <c r="O257" s="1">
        <f t="shared" si="231"/>
        <v>1014.5</v>
      </c>
      <c r="P257" s="1">
        <f t="shared" si="231"/>
        <v>1164.5</v>
      </c>
      <c r="Q257" s="1">
        <f t="shared" si="231"/>
        <v>1314.5</v>
      </c>
      <c r="R257" s="1">
        <f t="shared" si="231"/>
        <v>1414.5</v>
      </c>
      <c r="S257" s="1">
        <f t="shared" si="231"/>
        <v>1514.5</v>
      </c>
      <c r="T257" s="1">
        <f t="shared" si="231"/>
        <v>1614.5</v>
      </c>
      <c r="U257" s="1">
        <f t="shared" si="231"/>
        <v>1714.5</v>
      </c>
      <c r="X257" s="2">
        <v>39</v>
      </c>
      <c r="Y257" s="2">
        <v>69</v>
      </c>
      <c r="Z257" s="2">
        <v>85</v>
      </c>
      <c r="AA257" s="2">
        <v>117</v>
      </c>
      <c r="AB257" s="2">
        <v>147</v>
      </c>
      <c r="AC257" s="2">
        <v>194</v>
      </c>
      <c r="AD257" s="2">
        <v>267</v>
      </c>
    </row>
    <row r="258" spans="3:30">
      <c r="C258" s="1" t="s">
        <v>182</v>
      </c>
      <c r="F258" s="2">
        <v>7</v>
      </c>
      <c r="G258" s="2">
        <v>9</v>
      </c>
      <c r="H258" s="2">
        <v>19</v>
      </c>
      <c r="I258" s="2">
        <v>36</v>
      </c>
      <c r="J258" s="2">
        <v>52</v>
      </c>
      <c r="K258" s="1">
        <f t="shared" si="231"/>
        <v>87.000000000000014</v>
      </c>
      <c r="L258" s="1">
        <f t="shared" si="231"/>
        <v>127.00000000000003</v>
      </c>
      <c r="M258" s="1">
        <f t="shared" si="231"/>
        <v>167</v>
      </c>
      <c r="N258" s="1">
        <f t="shared" si="231"/>
        <v>196.99999999999997</v>
      </c>
      <c r="O258" s="1">
        <f t="shared" si="231"/>
        <v>226.99999999999994</v>
      </c>
      <c r="P258" s="1">
        <f t="shared" si="231"/>
        <v>256.99999999999994</v>
      </c>
      <c r="Q258" s="1">
        <f t="shared" si="231"/>
        <v>286.99999999999994</v>
      </c>
      <c r="R258" s="1">
        <f t="shared" si="231"/>
        <v>306.99999999999994</v>
      </c>
      <c r="S258" s="1">
        <f t="shared" si="231"/>
        <v>326.99999999999994</v>
      </c>
      <c r="T258" s="1">
        <f t="shared" si="231"/>
        <v>346.99999999999994</v>
      </c>
      <c r="U258" s="1">
        <f t="shared" si="231"/>
        <v>366.99999999999994</v>
      </c>
      <c r="X258" s="2">
        <v>12</v>
      </c>
      <c r="Y258" s="2">
        <v>19</v>
      </c>
      <c r="Z258" s="2">
        <v>25</v>
      </c>
      <c r="AA258" s="2">
        <v>36</v>
      </c>
      <c r="AB258" s="2">
        <v>43</v>
      </c>
      <c r="AC258" s="2">
        <v>52</v>
      </c>
      <c r="AD258" s="2">
        <v>67</v>
      </c>
    </row>
    <row r="260" spans="3:30" s="21" customFormat="1" ht="19">
      <c r="C260" s="31" t="s">
        <v>30</v>
      </c>
      <c r="G260" s="8">
        <f t="shared" ref="G260:U264" si="232">G254/F254-1</f>
        <v>0.20547945205479445</v>
      </c>
      <c r="H260" s="8">
        <f t="shared" si="232"/>
        <v>0.55113636363636354</v>
      </c>
      <c r="I260" s="8">
        <f t="shared" si="232"/>
        <v>0.70695970695970689</v>
      </c>
      <c r="J260" s="8">
        <f t="shared" si="232"/>
        <v>0.64806866952789699</v>
      </c>
      <c r="K260" s="8">
        <f t="shared" si="232"/>
        <v>0.45572916666666674</v>
      </c>
      <c r="L260" s="8">
        <f t="shared" si="232"/>
        <v>0.35778175313059024</v>
      </c>
      <c r="M260" s="8">
        <f t="shared" si="232"/>
        <v>0.26350461133069825</v>
      </c>
      <c r="N260" s="8">
        <f t="shared" si="232"/>
        <v>0.1564129301355579</v>
      </c>
      <c r="O260" s="8">
        <f t="shared" si="232"/>
        <v>0.1352569882777277</v>
      </c>
      <c r="P260" s="8">
        <f t="shared" si="232"/>
        <v>0.11914217633042101</v>
      </c>
      <c r="Q260" s="8">
        <f t="shared" si="232"/>
        <v>0.10645848119233503</v>
      </c>
      <c r="R260" s="8">
        <f t="shared" si="232"/>
        <v>6.4143681847337986E-2</v>
      </c>
      <c r="S260" s="8">
        <f t="shared" si="232"/>
        <v>6.0277275467148783E-2</v>
      </c>
      <c r="T260" s="8">
        <f t="shared" si="232"/>
        <v>5.6850483229107462E-2</v>
      </c>
      <c r="U260" s="8">
        <f t="shared" si="232"/>
        <v>5.3792361484669149E-2</v>
      </c>
      <c r="Z260" s="8">
        <f>Z254/X254-1</f>
        <v>0.67980295566502469</v>
      </c>
      <c r="AA260" s="8">
        <f t="shared" ref="AA260:AD264" si="233">AA254/Y254-1</f>
        <v>0.70695970695970689</v>
      </c>
      <c r="AB260" s="8">
        <f t="shared" si="233"/>
        <v>0.73900293255131966</v>
      </c>
      <c r="AC260" s="8">
        <f t="shared" si="233"/>
        <v>0.64806866952789699</v>
      </c>
      <c r="AD260" s="8">
        <f t="shared" si="233"/>
        <v>0.57672849915682978</v>
      </c>
    </row>
    <row r="261" spans="3:30" s="21" customFormat="1">
      <c r="C261" s="21" t="s">
        <v>177</v>
      </c>
      <c r="G261" s="8">
        <f>G255/F255-1</f>
        <v>0.10000000000000009</v>
      </c>
      <c r="H261" s="8">
        <f t="shared" si="232"/>
        <v>0.18181818181818188</v>
      </c>
      <c r="I261" s="8">
        <f t="shared" si="232"/>
        <v>0.63076923076923075</v>
      </c>
      <c r="J261" s="8">
        <f t="shared" si="232"/>
        <v>0.79245283018867929</v>
      </c>
      <c r="K261" s="8">
        <f t="shared" si="232"/>
        <v>0.18421052631578938</v>
      </c>
      <c r="L261" s="8">
        <f t="shared" si="232"/>
        <v>0.15999999999999992</v>
      </c>
      <c r="M261" s="8">
        <f t="shared" si="232"/>
        <v>0.12260536398467425</v>
      </c>
      <c r="N261" s="8">
        <f t="shared" si="232"/>
        <v>7.1672354948805417E-2</v>
      </c>
      <c r="O261" s="8">
        <f t="shared" si="232"/>
        <v>5.7324840764331197E-2</v>
      </c>
      <c r="P261" s="8">
        <f t="shared" si="232"/>
        <v>4.5180722891566161E-2</v>
      </c>
      <c r="Q261" s="8">
        <f t="shared" si="232"/>
        <v>4.3227665706051965E-2</v>
      </c>
      <c r="R261" s="8">
        <f t="shared" si="232"/>
        <v>2.7624309392265234E-2</v>
      </c>
      <c r="S261" s="8">
        <f t="shared" si="232"/>
        <v>2.6881720430107503E-2</v>
      </c>
      <c r="T261" s="8">
        <f t="shared" si="232"/>
        <v>2.6178010471204161E-2</v>
      </c>
      <c r="U261" s="8">
        <f t="shared" si="232"/>
        <v>2.5510204081632626E-2</v>
      </c>
      <c r="Z261" s="8">
        <f t="shared" ref="Z261:Z264" si="234">Z255/X255-1</f>
        <v>0.36842105263157898</v>
      </c>
      <c r="AA261" s="8">
        <f t="shared" si="233"/>
        <v>0.63076923076923075</v>
      </c>
      <c r="AB261" s="8">
        <f t="shared" si="233"/>
        <v>0.87179487179487181</v>
      </c>
      <c r="AC261" s="8">
        <f t="shared" si="233"/>
        <v>0.79245283018867929</v>
      </c>
      <c r="AD261" s="8">
        <f t="shared" si="233"/>
        <v>0.45205479452054798</v>
      </c>
    </row>
    <row r="262" spans="3:30" s="21" customFormat="1">
      <c r="C262" s="21" t="s">
        <v>178</v>
      </c>
      <c r="G262" s="8">
        <f t="shared" ref="G262:J264" si="235">G256/F256-1</f>
        <v>0.16901408450704225</v>
      </c>
      <c r="H262" s="8">
        <f t="shared" si="235"/>
        <v>0.44578313253012047</v>
      </c>
      <c r="I262" s="8">
        <f t="shared" si="235"/>
        <v>0.72500000000000009</v>
      </c>
      <c r="J262" s="8">
        <f t="shared" si="235"/>
        <v>0.60386473429951693</v>
      </c>
      <c r="K262" s="8">
        <f t="shared" si="232"/>
        <v>0.36897590361445776</v>
      </c>
      <c r="L262" s="8">
        <f t="shared" si="232"/>
        <v>0.30803080308030806</v>
      </c>
      <c r="M262" s="8">
        <f t="shared" si="232"/>
        <v>0.23549201009251464</v>
      </c>
      <c r="N262" s="8">
        <f t="shared" si="232"/>
        <v>0.14295439074200145</v>
      </c>
      <c r="O262" s="8">
        <f t="shared" si="232"/>
        <v>0.12507444907683141</v>
      </c>
      <c r="P262" s="8">
        <f t="shared" si="232"/>
        <v>0.11116993118051877</v>
      </c>
      <c r="Q262" s="8">
        <f t="shared" si="232"/>
        <v>0.10004764173415914</v>
      </c>
      <c r="R262" s="8">
        <f t="shared" si="232"/>
        <v>6.0632308358596898E-2</v>
      </c>
      <c r="S262" s="8">
        <f t="shared" si="232"/>
        <v>5.7166190281747742E-2</v>
      </c>
      <c r="T262" s="8">
        <f t="shared" si="232"/>
        <v>5.4074932406334542E-2</v>
      </c>
      <c r="U262" s="8">
        <f t="shared" si="232"/>
        <v>5.1300842799560264E-2</v>
      </c>
      <c r="Z262" s="8">
        <f t="shared" si="234"/>
        <v>0.61052631578947358</v>
      </c>
      <c r="AA262" s="8">
        <f t="shared" si="233"/>
        <v>0.72500000000000009</v>
      </c>
      <c r="AB262" s="8">
        <f t="shared" si="233"/>
        <v>0.6797385620915033</v>
      </c>
      <c r="AC262" s="8">
        <f t="shared" si="233"/>
        <v>0.60386473429951693</v>
      </c>
      <c r="AD262" s="8">
        <f t="shared" si="233"/>
        <v>0.51361867704280151</v>
      </c>
    </row>
    <row r="263" spans="3:30" s="21" customFormat="1">
      <c r="C263" s="21" t="s">
        <v>181</v>
      </c>
      <c r="G263" s="8">
        <f t="shared" si="235"/>
        <v>0.61111111111111116</v>
      </c>
      <c r="H263" s="8">
        <f t="shared" si="235"/>
        <v>1.3793103448275863</v>
      </c>
      <c r="I263" s="8">
        <f t="shared" si="235"/>
        <v>0.69565217391304346</v>
      </c>
      <c r="J263" s="8">
        <f t="shared" si="235"/>
        <v>0.65811965811965822</v>
      </c>
      <c r="K263" s="8">
        <f t="shared" si="232"/>
        <v>0.81185567010309279</v>
      </c>
      <c r="L263" s="8">
        <f t="shared" si="232"/>
        <v>0.5234708392603129</v>
      </c>
      <c r="M263" s="8">
        <f t="shared" si="232"/>
        <v>0.35107376283846881</v>
      </c>
      <c r="N263" s="8">
        <f t="shared" si="232"/>
        <v>0.19903248099516246</v>
      </c>
      <c r="O263" s="8">
        <f t="shared" si="232"/>
        <v>0.16945244956772343</v>
      </c>
      <c r="P263" s="8">
        <f t="shared" si="232"/>
        <v>0.1478560867422376</v>
      </c>
      <c r="Q263" s="8">
        <f t="shared" si="232"/>
        <v>0.12881064834693001</v>
      </c>
      <c r="R263" s="8">
        <f t="shared" si="232"/>
        <v>7.6074553062000838E-2</v>
      </c>
      <c r="S263" s="8">
        <f t="shared" si="232"/>
        <v>7.0696359137504494E-2</v>
      </c>
      <c r="T263" s="8">
        <f t="shared" si="232"/>
        <v>6.6028392208649755E-2</v>
      </c>
      <c r="U263" s="8">
        <f t="shared" si="232"/>
        <v>6.1938680706100868E-2</v>
      </c>
      <c r="Z263" s="8">
        <f t="shared" si="234"/>
        <v>1.1794871794871793</v>
      </c>
      <c r="AA263" s="8">
        <f t="shared" si="233"/>
        <v>0.69565217391304346</v>
      </c>
      <c r="AB263" s="8">
        <f t="shared" si="233"/>
        <v>0.72941176470588243</v>
      </c>
      <c r="AC263" s="8">
        <f t="shared" si="233"/>
        <v>0.65811965811965822</v>
      </c>
      <c r="AD263" s="8">
        <f t="shared" si="233"/>
        <v>0.81632653061224492</v>
      </c>
    </row>
    <row r="264" spans="3:30" s="21" customFormat="1">
      <c r="C264" s="21" t="s">
        <v>182</v>
      </c>
      <c r="G264" s="8">
        <f t="shared" si="235"/>
        <v>0.28571428571428581</v>
      </c>
      <c r="H264" s="8">
        <f t="shared" si="235"/>
        <v>1.1111111111111112</v>
      </c>
      <c r="I264" s="8">
        <f t="shared" si="235"/>
        <v>0.89473684210526305</v>
      </c>
      <c r="J264" s="8">
        <f t="shared" si="235"/>
        <v>0.44444444444444442</v>
      </c>
      <c r="K264" s="8">
        <f t="shared" si="232"/>
        <v>0.67307692307692335</v>
      </c>
      <c r="L264" s="8">
        <f t="shared" si="232"/>
        <v>0.45977011494252884</v>
      </c>
      <c r="M264" s="8">
        <f t="shared" si="232"/>
        <v>0.31496062992125951</v>
      </c>
      <c r="N264" s="8">
        <f t="shared" si="232"/>
        <v>0.17964071856287411</v>
      </c>
      <c r="O264" s="8">
        <f t="shared" si="232"/>
        <v>0.15228426395939065</v>
      </c>
      <c r="P264" s="8">
        <f t="shared" si="232"/>
        <v>0.13215859030837018</v>
      </c>
      <c r="Q264" s="8">
        <f t="shared" si="232"/>
        <v>0.11673151750972766</v>
      </c>
      <c r="R264" s="8">
        <f t="shared" si="232"/>
        <v>6.9686411149825878E-2</v>
      </c>
      <c r="S264" s="8">
        <f t="shared" si="232"/>
        <v>6.514657980456029E-2</v>
      </c>
      <c r="T264" s="8">
        <f t="shared" si="232"/>
        <v>6.1162079510703293E-2</v>
      </c>
      <c r="U264" s="8">
        <f t="shared" si="232"/>
        <v>5.7636887608069065E-2</v>
      </c>
      <c r="Z264" s="8">
        <f t="shared" si="234"/>
        <v>1.0833333333333335</v>
      </c>
      <c r="AA264" s="8">
        <f t="shared" si="233"/>
        <v>0.89473684210526305</v>
      </c>
      <c r="AB264" s="8">
        <f t="shared" si="233"/>
        <v>0.72</v>
      </c>
      <c r="AC264" s="8">
        <f t="shared" si="233"/>
        <v>0.44444444444444442</v>
      </c>
      <c r="AD264" s="8">
        <f t="shared" si="233"/>
        <v>0.55813953488372103</v>
      </c>
    </row>
    <row r="266" spans="3:30" s="21" customFormat="1" ht="19">
      <c r="C266" s="31" t="s">
        <v>36</v>
      </c>
    </row>
    <row r="267" spans="3:30" s="21" customFormat="1">
      <c r="C267" s="21" t="s">
        <v>177</v>
      </c>
      <c r="G267" s="8">
        <f>G255/G$254</f>
        <v>0.3125</v>
      </c>
      <c r="H267" s="8">
        <f t="shared" ref="H267:U270" si="236">H255/H$254</f>
        <v>0.23809523809523808</v>
      </c>
      <c r="I267" s="8">
        <f t="shared" si="236"/>
        <v>0.22746781115879827</v>
      </c>
      <c r="J267" s="8">
        <f t="shared" si="236"/>
        <v>0.24739583333333334</v>
      </c>
      <c r="K267" s="8">
        <f t="shared" si="236"/>
        <v>0.20125223613595708</v>
      </c>
      <c r="L267" s="8">
        <f t="shared" si="236"/>
        <v>0.17193675889328064</v>
      </c>
      <c r="M267" s="8">
        <f t="shared" si="236"/>
        <v>0.15276329509906153</v>
      </c>
      <c r="N267" s="8">
        <f t="shared" si="236"/>
        <v>0.14156898106402163</v>
      </c>
      <c r="O267" s="8">
        <f t="shared" si="236"/>
        <v>0.1318506751389992</v>
      </c>
      <c r="P267" s="8">
        <f t="shared" si="236"/>
        <v>0.12313697657913414</v>
      </c>
      <c r="Q267" s="8">
        <f t="shared" si="236"/>
        <v>0.11610006414368185</v>
      </c>
      <c r="R267" s="8">
        <f t="shared" si="236"/>
        <v>0.11211573236889692</v>
      </c>
      <c r="S267" s="8">
        <f t="shared" si="236"/>
        <v>0.10858442296759523</v>
      </c>
      <c r="T267" s="8">
        <f t="shared" si="236"/>
        <v>0.10543302850995159</v>
      </c>
      <c r="U267" s="8">
        <f t="shared" si="236"/>
        <v>0.10260336906584992</v>
      </c>
    </row>
    <row r="268" spans="3:30" s="21" customFormat="1">
      <c r="C268" s="21" t="s">
        <v>178</v>
      </c>
      <c r="G268" s="8">
        <f t="shared" ref="G268:J270" si="237">G256/G$254</f>
        <v>0.47159090909090912</v>
      </c>
      <c r="H268" s="8">
        <f t="shared" si="237"/>
        <v>0.43956043956043955</v>
      </c>
      <c r="I268" s="8">
        <f t="shared" si="237"/>
        <v>0.44420600858369097</v>
      </c>
      <c r="J268" s="8">
        <f t="shared" si="237"/>
        <v>0.43229166666666669</v>
      </c>
      <c r="K268" s="8">
        <f t="shared" si="236"/>
        <v>0.4065295169946333</v>
      </c>
      <c r="L268" s="8">
        <f t="shared" si="236"/>
        <v>0.39163372859025031</v>
      </c>
      <c r="M268" s="8">
        <f t="shared" si="236"/>
        <v>0.3829509906152242</v>
      </c>
      <c r="N268" s="8">
        <f t="shared" si="236"/>
        <v>0.37849413886384131</v>
      </c>
      <c r="O268" s="8">
        <f t="shared" si="236"/>
        <v>0.37509928514694202</v>
      </c>
      <c r="P268" s="8">
        <f t="shared" si="236"/>
        <v>0.37242725337118526</v>
      </c>
      <c r="Q268" s="8">
        <f t="shared" si="236"/>
        <v>0.37026940346375881</v>
      </c>
      <c r="R268" s="8">
        <f t="shared" si="236"/>
        <v>0.36904761904761907</v>
      </c>
      <c r="S268" s="8">
        <f t="shared" si="236"/>
        <v>0.36796475270039797</v>
      </c>
      <c r="T268" s="8">
        <f t="shared" si="236"/>
        <v>0.36699838622915548</v>
      </c>
      <c r="U268" s="8">
        <f t="shared" si="236"/>
        <v>0.3661306789178152</v>
      </c>
    </row>
    <row r="269" spans="3:30" s="21" customFormat="1">
      <c r="C269" s="21" t="s">
        <v>181</v>
      </c>
      <c r="G269" s="8">
        <f t="shared" si="237"/>
        <v>0.16477272727272727</v>
      </c>
      <c r="H269" s="8">
        <f t="shared" si="237"/>
        <v>0.25274725274725274</v>
      </c>
      <c r="I269" s="8">
        <f t="shared" si="237"/>
        <v>0.25107296137339058</v>
      </c>
      <c r="J269" s="8">
        <f t="shared" si="237"/>
        <v>0.25260416666666669</v>
      </c>
      <c r="K269" s="8">
        <f t="shared" si="236"/>
        <v>0.31440071556350624</v>
      </c>
      <c r="L269" s="8">
        <f t="shared" si="236"/>
        <v>0.35276679841897235</v>
      </c>
      <c r="M269" s="8">
        <f t="shared" si="236"/>
        <v>0.37721584984358708</v>
      </c>
      <c r="N269" s="8">
        <f t="shared" si="236"/>
        <v>0.39111812443642924</v>
      </c>
      <c r="O269" s="8">
        <f t="shared" si="236"/>
        <v>0.4028991262907069</v>
      </c>
      <c r="P269" s="8">
        <f t="shared" si="236"/>
        <v>0.41323633782824698</v>
      </c>
      <c r="Q269" s="8">
        <f t="shared" si="236"/>
        <v>0.42158434894162927</v>
      </c>
      <c r="R269" s="8">
        <f t="shared" si="236"/>
        <v>0.42631103074141047</v>
      </c>
      <c r="S269" s="8">
        <f t="shared" si="236"/>
        <v>0.43050028425241615</v>
      </c>
      <c r="T269" s="8">
        <f t="shared" si="236"/>
        <v>0.43423883808499192</v>
      </c>
      <c r="U269" s="8">
        <f t="shared" si="236"/>
        <v>0.43759571209800918</v>
      </c>
    </row>
    <row r="270" spans="3:30" s="21" customFormat="1">
      <c r="C270" s="21" t="s">
        <v>182</v>
      </c>
      <c r="G270" s="8">
        <f t="shared" si="237"/>
        <v>5.113636363636364E-2</v>
      </c>
      <c r="H270" s="8">
        <f t="shared" si="237"/>
        <v>6.95970695970696E-2</v>
      </c>
      <c r="I270" s="8">
        <f t="shared" si="237"/>
        <v>7.7253218884120178E-2</v>
      </c>
      <c r="J270" s="8">
        <f t="shared" si="237"/>
        <v>6.7708333333333329E-2</v>
      </c>
      <c r="K270" s="8">
        <f t="shared" si="236"/>
        <v>7.7817531305903409E-2</v>
      </c>
      <c r="L270" s="8">
        <f t="shared" si="236"/>
        <v>8.3662714097496718E-2</v>
      </c>
      <c r="M270" s="8">
        <f t="shared" si="236"/>
        <v>8.7069864442127221E-2</v>
      </c>
      <c r="N270" s="8">
        <f t="shared" si="236"/>
        <v>8.8818755635707833E-2</v>
      </c>
      <c r="O270" s="8">
        <f t="shared" si="236"/>
        <v>9.0150913423351839E-2</v>
      </c>
      <c r="P270" s="8">
        <f t="shared" si="236"/>
        <v>9.1199432221433618E-2</v>
      </c>
      <c r="Q270" s="8">
        <f t="shared" si="236"/>
        <v>9.2046183450930061E-2</v>
      </c>
      <c r="R270" s="8">
        <f t="shared" si="236"/>
        <v>9.2525617842073526E-2</v>
      </c>
      <c r="S270" s="8">
        <f t="shared" si="236"/>
        <v>9.2950540079590666E-2</v>
      </c>
      <c r="T270" s="8">
        <f t="shared" si="236"/>
        <v>9.3329747175901007E-2</v>
      </c>
      <c r="U270" s="8">
        <f t="shared" si="236"/>
        <v>9.3670239918325668E-2</v>
      </c>
    </row>
    <row r="272" spans="3:30">
      <c r="C272" s="1" t="s">
        <v>98</v>
      </c>
      <c r="F272" s="2">
        <v>112</v>
      </c>
      <c r="G272" s="1">
        <f>F287</f>
        <v>146</v>
      </c>
      <c r="H272" s="1">
        <f t="shared" ref="H272:U272" si="238">G287</f>
        <v>176</v>
      </c>
      <c r="I272" s="1">
        <f t="shared" si="238"/>
        <v>273</v>
      </c>
      <c r="J272" s="1">
        <f t="shared" si="238"/>
        <v>466</v>
      </c>
      <c r="K272" s="1">
        <f t="shared" si="238"/>
        <v>768</v>
      </c>
      <c r="L272" s="1">
        <f t="shared" si="238"/>
        <v>1118</v>
      </c>
      <c r="M272" s="1">
        <f t="shared" si="238"/>
        <v>1518</v>
      </c>
      <c r="N272" s="1">
        <f t="shared" si="238"/>
        <v>1918</v>
      </c>
      <c r="O272" s="1">
        <f t="shared" si="238"/>
        <v>2218</v>
      </c>
      <c r="P272" s="1">
        <f t="shared" si="238"/>
        <v>2518</v>
      </c>
      <c r="Q272" s="1">
        <f t="shared" si="238"/>
        <v>2818</v>
      </c>
      <c r="R272" s="1">
        <f t="shared" si="238"/>
        <v>3118</v>
      </c>
      <c r="S272" s="1">
        <f t="shared" si="238"/>
        <v>3318</v>
      </c>
      <c r="T272" s="1">
        <f t="shared" si="238"/>
        <v>3518</v>
      </c>
      <c r="U272" s="1">
        <f t="shared" si="238"/>
        <v>3718</v>
      </c>
      <c r="Z272" s="1">
        <f t="shared" ref="Z272:AD272" si="239">Y287</f>
        <v>273</v>
      </c>
      <c r="AA272" s="1">
        <f t="shared" si="239"/>
        <v>341</v>
      </c>
      <c r="AB272" s="1">
        <f t="shared" si="239"/>
        <v>466</v>
      </c>
      <c r="AC272" s="1">
        <f t="shared" si="239"/>
        <v>593</v>
      </c>
      <c r="AD272" s="1">
        <f t="shared" si="239"/>
        <v>768</v>
      </c>
    </row>
    <row r="273" spans="3:30">
      <c r="C273" s="1" t="s">
        <v>183</v>
      </c>
      <c r="F273" s="2">
        <v>36</v>
      </c>
      <c r="G273" s="2">
        <v>32</v>
      </c>
      <c r="H273" s="2">
        <v>98</v>
      </c>
      <c r="I273" s="2">
        <v>200</v>
      </c>
      <c r="J273" s="2">
        <v>308</v>
      </c>
      <c r="K273" s="3">
        <v>350</v>
      </c>
      <c r="L273" s="3">
        <v>400</v>
      </c>
      <c r="M273" s="3">
        <v>400</v>
      </c>
      <c r="N273" s="3">
        <v>300</v>
      </c>
      <c r="O273" s="3">
        <v>300</v>
      </c>
      <c r="P273" s="3">
        <v>300</v>
      </c>
      <c r="Q273" s="3">
        <v>300</v>
      </c>
      <c r="R273" s="3">
        <v>200</v>
      </c>
      <c r="S273" s="3">
        <v>200</v>
      </c>
      <c r="T273" s="3">
        <v>200</v>
      </c>
      <c r="U273" s="3">
        <v>200</v>
      </c>
      <c r="X273" s="2"/>
      <c r="Z273" s="2">
        <v>71</v>
      </c>
      <c r="AA273" s="1">
        <f>I273-Z273</f>
        <v>129</v>
      </c>
      <c r="AB273" s="2">
        <v>130</v>
      </c>
      <c r="AC273" s="1">
        <f>J273-AB273</f>
        <v>178</v>
      </c>
      <c r="AD273" s="2">
        <v>173</v>
      </c>
    </row>
    <row r="274" spans="3:30" s="12" customFormat="1">
      <c r="D274" s="12" t="s">
        <v>184</v>
      </c>
      <c r="F274" s="12">
        <f>F273/F272</f>
        <v>0.32142857142857145</v>
      </c>
      <c r="G274" s="12">
        <f t="shared" ref="G274:U274" si="240">G273/G272</f>
        <v>0.21917808219178081</v>
      </c>
      <c r="H274" s="12">
        <f t="shared" si="240"/>
        <v>0.55681818181818177</v>
      </c>
      <c r="I274" s="12">
        <f t="shared" si="240"/>
        <v>0.73260073260073255</v>
      </c>
      <c r="J274" s="12">
        <f t="shared" si="240"/>
        <v>0.66094420600858372</v>
      </c>
      <c r="K274" s="12">
        <f t="shared" si="240"/>
        <v>0.45572916666666669</v>
      </c>
      <c r="L274" s="12">
        <f t="shared" si="240"/>
        <v>0.35778175313059035</v>
      </c>
      <c r="M274" s="12">
        <f t="shared" si="240"/>
        <v>0.2635046113306983</v>
      </c>
      <c r="N274" s="12">
        <f t="shared" si="240"/>
        <v>0.15641293013555788</v>
      </c>
      <c r="O274" s="12">
        <f t="shared" si="240"/>
        <v>0.13525698827772767</v>
      </c>
      <c r="P274" s="12">
        <f t="shared" si="240"/>
        <v>0.11914217633042097</v>
      </c>
      <c r="Q274" s="12">
        <f t="shared" si="240"/>
        <v>0.10645848119233499</v>
      </c>
      <c r="R274" s="12">
        <f t="shared" si="240"/>
        <v>6.4143681847338041E-2</v>
      </c>
      <c r="S274" s="12">
        <f t="shared" si="240"/>
        <v>6.0277275467148887E-2</v>
      </c>
      <c r="T274" s="12">
        <f t="shared" si="240"/>
        <v>5.6850483229107449E-2</v>
      </c>
      <c r="U274" s="12">
        <f t="shared" si="240"/>
        <v>5.3792361484669177E-2</v>
      </c>
      <c r="AA274" s="12">
        <f t="shared" ref="AA274:AD274" si="241">AA273/AA272</f>
        <v>0.3782991202346041</v>
      </c>
      <c r="AB274" s="12">
        <f t="shared" si="241"/>
        <v>0.27896995708154504</v>
      </c>
      <c r="AC274" s="12">
        <f t="shared" si="241"/>
        <v>0.30016863406408095</v>
      </c>
      <c r="AD274" s="12">
        <f t="shared" si="241"/>
        <v>0.22526041666666666</v>
      </c>
    </row>
    <row r="275" spans="3:30">
      <c r="C275" s="1" t="s">
        <v>185</v>
      </c>
      <c r="F275" s="1">
        <f>F287-F273-F272</f>
        <v>-2</v>
      </c>
      <c r="G275" s="1">
        <f>G287-G273-G272</f>
        <v>-2</v>
      </c>
      <c r="H275" s="1">
        <f>H287-H273-H272</f>
        <v>-1</v>
      </c>
      <c r="I275" s="1">
        <f t="shared" ref="I275:J275" si="242">I287-I273-I272</f>
        <v>-7</v>
      </c>
      <c r="J275" s="1">
        <f t="shared" si="242"/>
        <v>-6</v>
      </c>
      <c r="Z275" s="1">
        <f t="shared" ref="Z275:AC275" si="243">Z287-Z273-Z272</f>
        <v>-3</v>
      </c>
      <c r="AA275" s="1">
        <f t="shared" si="243"/>
        <v>-4</v>
      </c>
      <c r="AB275" s="1">
        <f t="shared" si="243"/>
        <v>-3</v>
      </c>
      <c r="AC275" s="1">
        <f t="shared" si="243"/>
        <v>-3</v>
      </c>
      <c r="AD275" s="1">
        <f>AD287-AD273-AD272</f>
        <v>-6</v>
      </c>
    </row>
    <row r="276" spans="3:30" s="32" customFormat="1">
      <c r="C276" s="32" t="s">
        <v>186</v>
      </c>
      <c r="F276" s="32">
        <f t="shared" ref="F276:I276" si="244">F287-F272</f>
        <v>34</v>
      </c>
      <c r="G276" s="32">
        <f t="shared" si="244"/>
        <v>30</v>
      </c>
      <c r="H276" s="32">
        <f t="shared" si="244"/>
        <v>97</v>
      </c>
      <c r="I276" s="32">
        <f t="shared" si="244"/>
        <v>193</v>
      </c>
      <c r="J276" s="32">
        <f>J287-J272</f>
        <v>302</v>
      </c>
      <c r="K276" s="32">
        <f>K273+K275</f>
        <v>350</v>
      </c>
      <c r="L276" s="32">
        <f t="shared" ref="L276:U276" si="245">L273+L275</f>
        <v>400</v>
      </c>
      <c r="M276" s="32">
        <f t="shared" si="245"/>
        <v>400</v>
      </c>
      <c r="N276" s="32">
        <f t="shared" si="245"/>
        <v>300</v>
      </c>
      <c r="O276" s="32">
        <f t="shared" si="245"/>
        <v>300</v>
      </c>
      <c r="P276" s="32">
        <f t="shared" si="245"/>
        <v>300</v>
      </c>
      <c r="Q276" s="32">
        <f t="shared" si="245"/>
        <v>300</v>
      </c>
      <c r="R276" s="32">
        <f t="shared" si="245"/>
        <v>200</v>
      </c>
      <c r="S276" s="32">
        <f t="shared" si="245"/>
        <v>200</v>
      </c>
      <c r="T276" s="32">
        <f t="shared" si="245"/>
        <v>200</v>
      </c>
      <c r="U276" s="32">
        <f t="shared" si="245"/>
        <v>200</v>
      </c>
      <c r="Z276" s="32">
        <f t="shared" ref="Z276:AD276" si="246">Z287-Z272</f>
        <v>68</v>
      </c>
      <c r="AA276" s="32">
        <f t="shared" si="246"/>
        <v>125</v>
      </c>
      <c r="AB276" s="32">
        <f t="shared" si="246"/>
        <v>127</v>
      </c>
      <c r="AC276" s="32">
        <f t="shared" si="246"/>
        <v>175</v>
      </c>
      <c r="AD276" s="32">
        <f t="shared" si="246"/>
        <v>167</v>
      </c>
    </row>
    <row r="277" spans="3:30" s="33" customFormat="1" outlineLevel="1">
      <c r="D277" s="33" t="s">
        <v>177</v>
      </c>
      <c r="G277" s="33">
        <f t="shared" ref="G277:J280" si="247">G255-F255</f>
        <v>5</v>
      </c>
      <c r="H277" s="33">
        <f t="shared" si="247"/>
        <v>10</v>
      </c>
      <c r="I277" s="33">
        <f t="shared" si="247"/>
        <v>41</v>
      </c>
      <c r="J277" s="33">
        <f t="shared" si="247"/>
        <v>84</v>
      </c>
      <c r="K277" s="33">
        <f>K$276*K283</f>
        <v>35</v>
      </c>
      <c r="L277" s="33">
        <f t="shared" ref="L277:U277" si="248">L$276*L283</f>
        <v>36.000000000000007</v>
      </c>
      <c r="M277" s="33">
        <f t="shared" si="248"/>
        <v>32.000000000000007</v>
      </c>
      <c r="N277" s="33">
        <f t="shared" si="248"/>
        <v>21.000000000000007</v>
      </c>
      <c r="O277" s="33">
        <f t="shared" si="248"/>
        <v>18.000000000000007</v>
      </c>
      <c r="P277" s="33">
        <f t="shared" si="248"/>
        <v>15.000000000000005</v>
      </c>
      <c r="Q277" s="33">
        <f t="shared" si="248"/>
        <v>15.000000000000005</v>
      </c>
      <c r="R277" s="33">
        <f t="shared" si="248"/>
        <v>10.000000000000004</v>
      </c>
      <c r="S277" s="33">
        <f t="shared" si="248"/>
        <v>10.000000000000004</v>
      </c>
      <c r="T277" s="33">
        <f t="shared" si="248"/>
        <v>10.000000000000004</v>
      </c>
      <c r="U277" s="33">
        <f t="shared" si="248"/>
        <v>10.000000000000004</v>
      </c>
      <c r="Z277" s="33">
        <f t="shared" ref="Z277:AD280" si="249">Z255-Y255</f>
        <v>13</v>
      </c>
      <c r="AA277" s="33">
        <f t="shared" si="249"/>
        <v>28</v>
      </c>
      <c r="AB277" s="33">
        <f t="shared" si="249"/>
        <v>40</v>
      </c>
      <c r="AC277" s="33">
        <f t="shared" si="249"/>
        <v>44</v>
      </c>
      <c r="AD277" s="33">
        <f t="shared" si="249"/>
        <v>22</v>
      </c>
    </row>
    <row r="278" spans="3:30" s="33" customFormat="1" outlineLevel="1">
      <c r="D278" s="33" t="s">
        <v>178</v>
      </c>
      <c r="G278" s="33">
        <f t="shared" si="247"/>
        <v>12</v>
      </c>
      <c r="H278" s="33">
        <f t="shared" si="247"/>
        <v>37</v>
      </c>
      <c r="I278" s="33">
        <f t="shared" si="247"/>
        <v>87</v>
      </c>
      <c r="J278" s="33">
        <f t="shared" si="247"/>
        <v>125</v>
      </c>
      <c r="K278" s="33">
        <f t="shared" ref="K278:U280" si="250">K$276*K284</f>
        <v>122.49999999999999</v>
      </c>
      <c r="L278" s="33">
        <f t="shared" si="250"/>
        <v>140</v>
      </c>
      <c r="M278" s="33">
        <f t="shared" si="250"/>
        <v>140</v>
      </c>
      <c r="N278" s="33">
        <f t="shared" si="250"/>
        <v>105</v>
      </c>
      <c r="O278" s="33">
        <f t="shared" si="250"/>
        <v>105</v>
      </c>
      <c r="P278" s="33">
        <f t="shared" si="250"/>
        <v>105</v>
      </c>
      <c r="Q278" s="33">
        <f t="shared" si="250"/>
        <v>105</v>
      </c>
      <c r="R278" s="33">
        <f t="shared" si="250"/>
        <v>70</v>
      </c>
      <c r="S278" s="33">
        <f t="shared" si="250"/>
        <v>70</v>
      </c>
      <c r="T278" s="33">
        <f t="shared" si="250"/>
        <v>70</v>
      </c>
      <c r="U278" s="33">
        <f t="shared" si="250"/>
        <v>70</v>
      </c>
      <c r="Z278" s="33">
        <f t="shared" si="249"/>
        <v>33</v>
      </c>
      <c r="AA278" s="33">
        <f t="shared" si="249"/>
        <v>54</v>
      </c>
      <c r="AB278" s="33">
        <f t="shared" si="249"/>
        <v>50</v>
      </c>
      <c r="AC278" s="33">
        <f t="shared" si="249"/>
        <v>75</v>
      </c>
      <c r="AD278" s="33">
        <f t="shared" si="249"/>
        <v>57</v>
      </c>
    </row>
    <row r="279" spans="3:30" s="33" customFormat="1" outlineLevel="1">
      <c r="D279" s="33" t="s">
        <v>181</v>
      </c>
      <c r="G279" s="33">
        <f t="shared" si="247"/>
        <v>11</v>
      </c>
      <c r="H279" s="33">
        <f t="shared" si="247"/>
        <v>40</v>
      </c>
      <c r="I279" s="33">
        <f t="shared" si="247"/>
        <v>48</v>
      </c>
      <c r="J279" s="33">
        <f t="shared" si="247"/>
        <v>77</v>
      </c>
      <c r="K279" s="33">
        <f t="shared" si="250"/>
        <v>157.5</v>
      </c>
      <c r="L279" s="33">
        <f t="shared" si="250"/>
        <v>184</v>
      </c>
      <c r="M279" s="33">
        <f t="shared" si="250"/>
        <v>188</v>
      </c>
      <c r="N279" s="33">
        <f t="shared" si="250"/>
        <v>144</v>
      </c>
      <c r="O279" s="33">
        <f t="shared" si="250"/>
        <v>147</v>
      </c>
      <c r="P279" s="33">
        <f t="shared" si="250"/>
        <v>150</v>
      </c>
      <c r="Q279" s="33">
        <f t="shared" si="250"/>
        <v>150</v>
      </c>
      <c r="R279" s="33">
        <f t="shared" si="250"/>
        <v>100</v>
      </c>
      <c r="S279" s="33">
        <f t="shared" si="250"/>
        <v>100</v>
      </c>
      <c r="T279" s="33">
        <f t="shared" si="250"/>
        <v>100</v>
      </c>
      <c r="U279" s="33">
        <f t="shared" si="250"/>
        <v>100</v>
      </c>
      <c r="Z279" s="33">
        <f t="shared" si="249"/>
        <v>16</v>
      </c>
      <c r="AA279" s="33">
        <f t="shared" si="249"/>
        <v>32</v>
      </c>
      <c r="AB279" s="33">
        <f t="shared" si="249"/>
        <v>30</v>
      </c>
      <c r="AC279" s="33">
        <f t="shared" si="249"/>
        <v>47</v>
      </c>
      <c r="AD279" s="33">
        <f t="shared" si="249"/>
        <v>73</v>
      </c>
    </row>
    <row r="280" spans="3:30" s="33" customFormat="1" outlineLevel="1">
      <c r="D280" s="33" t="s">
        <v>182</v>
      </c>
      <c r="G280" s="33">
        <f t="shared" si="247"/>
        <v>2</v>
      </c>
      <c r="H280" s="33">
        <f t="shared" si="247"/>
        <v>10</v>
      </c>
      <c r="I280" s="33">
        <f t="shared" si="247"/>
        <v>17</v>
      </c>
      <c r="J280" s="33">
        <f t="shared" si="247"/>
        <v>16</v>
      </c>
      <c r="K280" s="33">
        <f t="shared" si="250"/>
        <v>35.000000000000014</v>
      </c>
      <c r="L280" s="33">
        <f t="shared" si="250"/>
        <v>40.000000000000014</v>
      </c>
      <c r="M280" s="33">
        <f t="shared" si="250"/>
        <v>39.999999999999972</v>
      </c>
      <c r="N280" s="33">
        <f t="shared" si="250"/>
        <v>29.999999999999975</v>
      </c>
      <c r="O280" s="33">
        <f t="shared" si="250"/>
        <v>29.999999999999975</v>
      </c>
      <c r="P280" s="33">
        <f t="shared" si="250"/>
        <v>29.999999999999993</v>
      </c>
      <c r="Q280" s="33">
        <f t="shared" si="250"/>
        <v>29.999999999999993</v>
      </c>
      <c r="R280" s="33">
        <f t="shared" si="250"/>
        <v>19.999999999999996</v>
      </c>
      <c r="S280" s="33">
        <f t="shared" si="250"/>
        <v>19.999999999999996</v>
      </c>
      <c r="T280" s="33">
        <f t="shared" si="250"/>
        <v>19.999999999999996</v>
      </c>
      <c r="U280" s="33">
        <f t="shared" si="250"/>
        <v>19.999999999999996</v>
      </c>
      <c r="Z280" s="33">
        <f t="shared" si="249"/>
        <v>6</v>
      </c>
      <c r="AA280" s="33">
        <f t="shared" si="249"/>
        <v>11</v>
      </c>
      <c r="AB280" s="33">
        <f t="shared" si="249"/>
        <v>7</v>
      </c>
      <c r="AC280" s="33">
        <f t="shared" si="249"/>
        <v>9</v>
      </c>
      <c r="AD280" s="33">
        <f t="shared" si="249"/>
        <v>15</v>
      </c>
    </row>
    <row r="281" spans="3:30" s="33" customFormat="1" outlineLevel="1"/>
    <row r="282" spans="3:30" s="33" customFormat="1" ht="19" outlineLevel="1">
      <c r="D282" s="34" t="s">
        <v>36</v>
      </c>
    </row>
    <row r="283" spans="3:30" s="33" customFormat="1" outlineLevel="1">
      <c r="D283" s="33" t="s">
        <v>177</v>
      </c>
      <c r="G283" s="35">
        <f t="shared" ref="G283:J286" si="251">G277/G$276</f>
        <v>0.16666666666666666</v>
      </c>
      <c r="H283" s="35">
        <f t="shared" si="251"/>
        <v>0.10309278350515463</v>
      </c>
      <c r="I283" s="35">
        <f t="shared" si="251"/>
        <v>0.21243523316062177</v>
      </c>
      <c r="J283" s="35">
        <f>J277/J$276</f>
        <v>0.27814569536423839</v>
      </c>
      <c r="K283" s="36">
        <v>0.1</v>
      </c>
      <c r="L283" s="36">
        <f>K283-1%</f>
        <v>9.0000000000000011E-2</v>
      </c>
      <c r="M283" s="36">
        <f t="shared" ref="M283:P283" si="252">L283-1%</f>
        <v>8.0000000000000016E-2</v>
      </c>
      <c r="N283" s="36">
        <f t="shared" si="252"/>
        <v>7.0000000000000021E-2</v>
      </c>
      <c r="O283" s="36">
        <f t="shared" si="252"/>
        <v>6.0000000000000019E-2</v>
      </c>
      <c r="P283" s="36">
        <f t="shared" si="252"/>
        <v>5.0000000000000017E-2</v>
      </c>
      <c r="Q283" s="36">
        <f>P283</f>
        <v>5.0000000000000017E-2</v>
      </c>
      <c r="R283" s="36">
        <f t="shared" ref="R283:U283" si="253">Q283</f>
        <v>5.0000000000000017E-2</v>
      </c>
      <c r="S283" s="36">
        <f t="shared" si="253"/>
        <v>5.0000000000000017E-2</v>
      </c>
      <c r="T283" s="36">
        <f t="shared" si="253"/>
        <v>5.0000000000000017E-2</v>
      </c>
      <c r="U283" s="36">
        <f t="shared" si="253"/>
        <v>5.0000000000000017E-2</v>
      </c>
      <c r="Z283" s="35">
        <f t="shared" ref="Z283:AD286" si="254">Z277/Z$276</f>
        <v>0.19117647058823528</v>
      </c>
      <c r="AA283" s="35">
        <f t="shared" si="254"/>
        <v>0.224</v>
      </c>
      <c r="AB283" s="35">
        <f t="shared" si="254"/>
        <v>0.31496062992125984</v>
      </c>
      <c r="AC283" s="35">
        <f t="shared" si="254"/>
        <v>0.25142857142857145</v>
      </c>
      <c r="AD283" s="35">
        <f>AD277/AD$276</f>
        <v>0.1317365269461078</v>
      </c>
    </row>
    <row r="284" spans="3:30" s="33" customFormat="1" outlineLevel="1">
      <c r="D284" s="33" t="s">
        <v>178</v>
      </c>
      <c r="G284" s="35">
        <f t="shared" si="251"/>
        <v>0.4</v>
      </c>
      <c r="H284" s="35">
        <f t="shared" si="251"/>
        <v>0.38144329896907214</v>
      </c>
      <c r="I284" s="35">
        <f t="shared" si="251"/>
        <v>0.45077720207253885</v>
      </c>
      <c r="J284" s="35">
        <f t="shared" si="251"/>
        <v>0.41390728476821192</v>
      </c>
      <c r="K284" s="36">
        <v>0.35</v>
      </c>
      <c r="L284" s="36">
        <v>0.35</v>
      </c>
      <c r="M284" s="36">
        <v>0.35</v>
      </c>
      <c r="N284" s="36">
        <v>0.35</v>
      </c>
      <c r="O284" s="36">
        <v>0.35</v>
      </c>
      <c r="P284" s="36">
        <v>0.35</v>
      </c>
      <c r="Q284" s="36">
        <v>0.35</v>
      </c>
      <c r="R284" s="36">
        <v>0.35</v>
      </c>
      <c r="S284" s="36">
        <v>0.35</v>
      </c>
      <c r="T284" s="36">
        <v>0.35</v>
      </c>
      <c r="U284" s="36">
        <v>0.35</v>
      </c>
      <c r="Z284" s="35">
        <f t="shared" si="254"/>
        <v>0.48529411764705882</v>
      </c>
      <c r="AA284" s="35">
        <f t="shared" si="254"/>
        <v>0.432</v>
      </c>
      <c r="AB284" s="35">
        <f t="shared" si="254"/>
        <v>0.39370078740157483</v>
      </c>
      <c r="AC284" s="35">
        <f t="shared" si="254"/>
        <v>0.42857142857142855</v>
      </c>
      <c r="AD284" s="35">
        <f t="shared" si="254"/>
        <v>0.3413173652694611</v>
      </c>
    </row>
    <row r="285" spans="3:30" s="33" customFormat="1" outlineLevel="1">
      <c r="D285" s="33" t="s">
        <v>181</v>
      </c>
      <c r="G285" s="35">
        <f t="shared" si="251"/>
        <v>0.36666666666666664</v>
      </c>
      <c r="H285" s="35">
        <f t="shared" si="251"/>
        <v>0.41237113402061853</v>
      </c>
      <c r="I285" s="35">
        <f t="shared" si="251"/>
        <v>0.24870466321243523</v>
      </c>
      <c r="J285" s="35">
        <f t="shared" si="251"/>
        <v>0.25496688741721857</v>
      </c>
      <c r="K285" s="36">
        <v>0.45</v>
      </c>
      <c r="L285" s="36">
        <f>K285+1%</f>
        <v>0.46</v>
      </c>
      <c r="M285" s="36">
        <f t="shared" ref="M285:P285" si="255">L285+1%</f>
        <v>0.47000000000000003</v>
      </c>
      <c r="N285" s="36">
        <f t="shared" si="255"/>
        <v>0.48000000000000004</v>
      </c>
      <c r="O285" s="36">
        <f t="shared" si="255"/>
        <v>0.49000000000000005</v>
      </c>
      <c r="P285" s="36">
        <f t="shared" si="255"/>
        <v>0.5</v>
      </c>
      <c r="Q285" s="36">
        <f>P285</f>
        <v>0.5</v>
      </c>
      <c r="R285" s="36">
        <f t="shared" ref="R285:U285" si="256">Q285</f>
        <v>0.5</v>
      </c>
      <c r="S285" s="36">
        <f t="shared" si="256"/>
        <v>0.5</v>
      </c>
      <c r="T285" s="36">
        <f t="shared" si="256"/>
        <v>0.5</v>
      </c>
      <c r="U285" s="36">
        <f t="shared" si="256"/>
        <v>0.5</v>
      </c>
      <c r="Z285" s="35">
        <f t="shared" si="254"/>
        <v>0.23529411764705882</v>
      </c>
      <c r="AA285" s="35">
        <f t="shared" si="254"/>
        <v>0.25600000000000001</v>
      </c>
      <c r="AB285" s="35">
        <f t="shared" si="254"/>
        <v>0.23622047244094488</v>
      </c>
      <c r="AC285" s="35">
        <f t="shared" si="254"/>
        <v>0.26857142857142857</v>
      </c>
      <c r="AD285" s="35">
        <f t="shared" si="254"/>
        <v>0.43712574850299402</v>
      </c>
    </row>
    <row r="286" spans="3:30" s="33" customFormat="1" outlineLevel="1">
      <c r="D286" s="33" t="s">
        <v>182</v>
      </c>
      <c r="G286" s="35">
        <f t="shared" si="251"/>
        <v>6.6666666666666666E-2</v>
      </c>
      <c r="H286" s="35">
        <f t="shared" si="251"/>
        <v>0.10309278350515463</v>
      </c>
      <c r="I286" s="35">
        <f t="shared" si="251"/>
        <v>8.8082901554404139E-2</v>
      </c>
      <c r="J286" s="35">
        <f t="shared" si="251"/>
        <v>5.2980132450331126E-2</v>
      </c>
      <c r="K286" s="35">
        <f>1-K283-K284-K285</f>
        <v>0.10000000000000003</v>
      </c>
      <c r="L286" s="35">
        <f t="shared" ref="L286:U286" si="257">1-L283-L284-L285</f>
        <v>0.10000000000000003</v>
      </c>
      <c r="M286" s="35">
        <f t="shared" si="257"/>
        <v>9.9999999999999922E-2</v>
      </c>
      <c r="N286" s="35">
        <f t="shared" si="257"/>
        <v>9.9999999999999922E-2</v>
      </c>
      <c r="O286" s="35">
        <f t="shared" si="257"/>
        <v>9.9999999999999922E-2</v>
      </c>
      <c r="P286" s="35">
        <f t="shared" si="257"/>
        <v>9.9999999999999978E-2</v>
      </c>
      <c r="Q286" s="35">
        <f t="shared" si="257"/>
        <v>9.9999999999999978E-2</v>
      </c>
      <c r="R286" s="35">
        <f t="shared" si="257"/>
        <v>9.9999999999999978E-2</v>
      </c>
      <c r="S286" s="35">
        <f t="shared" si="257"/>
        <v>9.9999999999999978E-2</v>
      </c>
      <c r="T286" s="35">
        <f t="shared" si="257"/>
        <v>9.9999999999999978E-2</v>
      </c>
      <c r="U286" s="35">
        <f t="shared" si="257"/>
        <v>9.9999999999999978E-2</v>
      </c>
      <c r="Z286" s="35">
        <f t="shared" si="254"/>
        <v>8.8235294117647065E-2</v>
      </c>
      <c r="AA286" s="35">
        <f t="shared" si="254"/>
        <v>8.7999999999999995E-2</v>
      </c>
      <c r="AB286" s="35">
        <f t="shared" si="254"/>
        <v>5.5118110236220472E-2</v>
      </c>
      <c r="AC286" s="35">
        <f t="shared" si="254"/>
        <v>5.1428571428571428E-2</v>
      </c>
      <c r="AD286" s="35">
        <f t="shared" si="254"/>
        <v>8.9820359281437126E-2</v>
      </c>
    </row>
    <row r="287" spans="3:30">
      <c r="C287" s="1" t="s">
        <v>170</v>
      </c>
      <c r="F287" s="1">
        <f t="shared" ref="F287:I287" si="258">F254</f>
        <v>146</v>
      </c>
      <c r="G287" s="1">
        <f t="shared" si="258"/>
        <v>176</v>
      </c>
      <c r="H287" s="1">
        <f t="shared" si="258"/>
        <v>273</v>
      </c>
      <c r="I287" s="1">
        <f t="shared" si="258"/>
        <v>466</v>
      </c>
      <c r="J287" s="1">
        <f>J254</f>
        <v>768</v>
      </c>
      <c r="K287" s="1">
        <f>K272+K273+K275</f>
        <v>1118</v>
      </c>
      <c r="L287" s="1">
        <f t="shared" ref="L287:U287" si="259">L272+L273+L275</f>
        <v>1518</v>
      </c>
      <c r="M287" s="1">
        <f t="shared" si="259"/>
        <v>1918</v>
      </c>
      <c r="N287" s="1">
        <f t="shared" si="259"/>
        <v>2218</v>
      </c>
      <c r="O287" s="1">
        <f t="shared" si="259"/>
        <v>2518</v>
      </c>
      <c r="P287" s="1">
        <f t="shared" si="259"/>
        <v>2818</v>
      </c>
      <c r="Q287" s="1">
        <f t="shared" si="259"/>
        <v>3118</v>
      </c>
      <c r="R287" s="1">
        <f t="shared" si="259"/>
        <v>3318</v>
      </c>
      <c r="S287" s="1">
        <f t="shared" si="259"/>
        <v>3518</v>
      </c>
      <c r="T287" s="1">
        <f t="shared" si="259"/>
        <v>3718</v>
      </c>
      <c r="U287" s="1">
        <f t="shared" si="259"/>
        <v>3918</v>
      </c>
      <c r="Y287" s="1">
        <f t="shared" ref="Y287:AD287" si="260">Y254</f>
        <v>273</v>
      </c>
      <c r="Z287" s="1">
        <f t="shared" si="260"/>
        <v>341</v>
      </c>
      <c r="AA287" s="1">
        <f t="shared" si="260"/>
        <v>466</v>
      </c>
      <c r="AB287" s="1">
        <f t="shared" si="260"/>
        <v>593</v>
      </c>
      <c r="AC287" s="1">
        <f t="shared" si="260"/>
        <v>768</v>
      </c>
      <c r="AD287" s="1">
        <f t="shared" si="260"/>
        <v>935</v>
      </c>
    </row>
    <row r="289" spans="2:30">
      <c r="B289" s="1" t="s">
        <v>187</v>
      </c>
      <c r="F289" s="1">
        <f>F366/F301</f>
        <v>91.738767001225966</v>
      </c>
      <c r="G289" s="1">
        <f>G366/G301</f>
        <v>94.497551919038372</v>
      </c>
      <c r="H289" s="1">
        <f>H366/H301</f>
        <v>97.693416171532036</v>
      </c>
      <c r="I289" s="1">
        <f>I366/I301</f>
        <v>101.06122802510454</v>
      </c>
      <c r="J289" s="1">
        <f>J366/J301</f>
        <v>105.17560806628039</v>
      </c>
      <c r="K289" s="1">
        <f t="shared" ref="K289:U289" si="261">K366/K301</f>
        <v>108.82068610211715</v>
      </c>
      <c r="L289" s="1">
        <f t="shared" si="261"/>
        <v>111.53047561730921</v>
      </c>
      <c r="M289" s="1">
        <f t="shared" si="261"/>
        <v>114.97411673256103</v>
      </c>
      <c r="N289" s="1">
        <f t="shared" si="261"/>
        <v>118.5443968438</v>
      </c>
      <c r="O289" s="1">
        <f t="shared" si="261"/>
        <v>122.23472497342071</v>
      </c>
      <c r="P289" s="1">
        <f t="shared" si="261"/>
        <v>126.01102684478397</v>
      </c>
      <c r="Q289" s="1">
        <f t="shared" si="261"/>
        <v>129.84651421578062</v>
      </c>
      <c r="R289" s="1">
        <f t="shared" si="261"/>
        <v>133.7954115482558</v>
      </c>
      <c r="S289" s="1">
        <f t="shared" si="261"/>
        <v>137.88008775097521</v>
      </c>
      <c r="T289" s="1">
        <f t="shared" si="261"/>
        <v>142.06686033360501</v>
      </c>
      <c r="U289" s="1">
        <f t="shared" si="261"/>
        <v>146.38310827222327</v>
      </c>
      <c r="X289" s="1">
        <f>X366/X301</f>
        <v>96.97145936616802</v>
      </c>
      <c r="Y289" s="1">
        <f t="shared" ref="Y289:AD289" si="262">Y366/Y301</f>
        <v>98.289900616970556</v>
      </c>
      <c r="Z289" s="1">
        <f t="shared" si="262"/>
        <v>100.2459681132198</v>
      </c>
      <c r="AA289" s="1">
        <f t="shared" si="262"/>
        <v>101.71561649304977</v>
      </c>
      <c r="AB289" s="1">
        <f t="shared" si="262"/>
        <v>104.4256909400615</v>
      </c>
      <c r="AC289" s="1">
        <f t="shared" si="262"/>
        <v>105.78037320504474</v>
      </c>
      <c r="AD289" s="1">
        <f t="shared" si="262"/>
        <v>112.82333771189123</v>
      </c>
    </row>
    <row r="290" spans="2:30">
      <c r="C290" s="1" t="s">
        <v>177</v>
      </c>
      <c r="F290" s="2">
        <v>93.2</v>
      </c>
      <c r="G290" s="2">
        <v>95.3</v>
      </c>
      <c r="H290" s="2">
        <v>98.3</v>
      </c>
      <c r="I290" s="2">
        <v>106.1</v>
      </c>
      <c r="J290" s="2">
        <v>110.1</v>
      </c>
      <c r="K290" s="1">
        <f t="shared" ref="K290:U293" si="263">J290*(1+3%)</f>
        <v>113.40299999999999</v>
      </c>
      <c r="L290" s="1">
        <f t="shared" si="263"/>
        <v>116.80508999999999</v>
      </c>
      <c r="M290" s="1">
        <f t="shared" si="263"/>
        <v>120.3092427</v>
      </c>
      <c r="N290" s="1">
        <f t="shared" si="263"/>
        <v>123.918519981</v>
      </c>
      <c r="O290" s="1">
        <f t="shared" si="263"/>
        <v>127.63607558043</v>
      </c>
      <c r="P290" s="1">
        <f t="shared" si="263"/>
        <v>131.4651578478429</v>
      </c>
      <c r="Q290" s="1">
        <f t="shared" si="263"/>
        <v>135.40911258327819</v>
      </c>
      <c r="R290" s="1">
        <f t="shared" si="263"/>
        <v>139.47138596077653</v>
      </c>
      <c r="S290" s="1">
        <f t="shared" si="263"/>
        <v>143.65552753959983</v>
      </c>
      <c r="T290" s="1">
        <f t="shared" si="263"/>
        <v>147.96519336578783</v>
      </c>
      <c r="U290" s="1">
        <f t="shared" si="263"/>
        <v>152.40414916676147</v>
      </c>
      <c r="X290" s="2">
        <v>101.2</v>
      </c>
      <c r="Y290" s="1">
        <f>Y368/Y302</f>
        <v>95.74447110410118</v>
      </c>
      <c r="Z290" s="2">
        <v>106</v>
      </c>
      <c r="AA290" s="1">
        <f>AA368/AA302</f>
        <v>106.18066949304115</v>
      </c>
      <c r="AB290" s="2">
        <v>110</v>
      </c>
      <c r="AC290" s="1">
        <f>AC368/AC302</f>
        <v>110.17933861440036</v>
      </c>
      <c r="AD290" s="2">
        <v>118.1</v>
      </c>
    </row>
    <row r="291" spans="2:30">
      <c r="C291" s="1" t="s">
        <v>178</v>
      </c>
      <c r="F291" s="2">
        <v>86.1</v>
      </c>
      <c r="G291" s="2">
        <v>88.5</v>
      </c>
      <c r="H291" s="2">
        <v>92.6</v>
      </c>
      <c r="I291" s="2">
        <v>94.8</v>
      </c>
      <c r="J291" s="2">
        <v>99.4</v>
      </c>
      <c r="K291" s="1">
        <f t="shared" si="263"/>
        <v>102.38200000000001</v>
      </c>
      <c r="L291" s="1">
        <f t="shared" si="263"/>
        <v>105.45346000000001</v>
      </c>
      <c r="M291" s="1">
        <f t="shared" si="263"/>
        <v>108.61706380000001</v>
      </c>
      <c r="N291" s="1">
        <f t="shared" si="263"/>
        <v>111.87557571400002</v>
      </c>
      <c r="O291" s="1">
        <f t="shared" si="263"/>
        <v>115.23184298542003</v>
      </c>
      <c r="P291" s="1">
        <f t="shared" si="263"/>
        <v>118.68879827498263</v>
      </c>
      <c r="Q291" s="1">
        <f t="shared" si="263"/>
        <v>122.24946222323211</v>
      </c>
      <c r="R291" s="1">
        <f t="shared" si="263"/>
        <v>125.91694608992908</v>
      </c>
      <c r="S291" s="1">
        <f t="shared" si="263"/>
        <v>129.69445447262697</v>
      </c>
      <c r="T291" s="1">
        <f t="shared" si="263"/>
        <v>133.58528810680579</v>
      </c>
      <c r="U291" s="1">
        <f t="shared" si="263"/>
        <v>137.59284675000995</v>
      </c>
      <c r="X291" s="2">
        <v>90.7</v>
      </c>
      <c r="Y291" s="1">
        <f>Y369/Y303</f>
        <v>94.196676152591934</v>
      </c>
      <c r="Z291" s="2">
        <v>94.2</v>
      </c>
      <c r="AA291" s="1">
        <f>AA369/AA303</f>
        <v>95.312375500136298</v>
      </c>
      <c r="AB291" s="2">
        <v>98.4</v>
      </c>
      <c r="AC291" s="1">
        <f>AC369/AC303</f>
        <v>100.23652640516673</v>
      </c>
      <c r="AD291" s="2">
        <v>107.4</v>
      </c>
    </row>
    <row r="292" spans="2:30">
      <c r="C292" s="1" t="s">
        <v>181</v>
      </c>
      <c r="F292" s="2">
        <v>89.8</v>
      </c>
      <c r="G292" s="2">
        <v>92.8</v>
      </c>
      <c r="H292" s="2">
        <v>94.5</v>
      </c>
      <c r="I292" s="2">
        <v>92.1</v>
      </c>
      <c r="J292" s="2">
        <v>94.9</v>
      </c>
      <c r="K292" s="1">
        <f t="shared" si="263"/>
        <v>97.747000000000014</v>
      </c>
      <c r="L292" s="1">
        <f t="shared" si="263"/>
        <v>100.67941000000002</v>
      </c>
      <c r="M292" s="1">
        <f t="shared" si="263"/>
        <v>103.69979230000003</v>
      </c>
      <c r="N292" s="1">
        <f t="shared" si="263"/>
        <v>106.81078606900003</v>
      </c>
      <c r="O292" s="1">
        <f t="shared" si="263"/>
        <v>110.01510965107003</v>
      </c>
      <c r="P292" s="1">
        <f t="shared" si="263"/>
        <v>113.31556294060213</v>
      </c>
      <c r="Q292" s="1">
        <f t="shared" si="263"/>
        <v>116.71502982882021</v>
      </c>
      <c r="R292" s="1">
        <f t="shared" si="263"/>
        <v>120.21648072368481</v>
      </c>
      <c r="S292" s="1">
        <f t="shared" si="263"/>
        <v>123.82297514539536</v>
      </c>
      <c r="T292" s="1">
        <f t="shared" si="263"/>
        <v>127.53766439975722</v>
      </c>
      <c r="U292" s="1">
        <f t="shared" si="263"/>
        <v>131.36379433174994</v>
      </c>
      <c r="X292" s="2">
        <v>90.5</v>
      </c>
      <c r="Y292" s="1">
        <f>Y370/Y304</f>
        <v>97.613010491557219</v>
      </c>
      <c r="Z292" s="2">
        <v>91.8</v>
      </c>
      <c r="AA292" s="1">
        <f>AA370/AA304</f>
        <v>92.313825674965514</v>
      </c>
      <c r="AB292" s="2">
        <v>94.8</v>
      </c>
      <c r="AC292" s="1">
        <f>AC370/AC304</f>
        <v>94.978128196473776</v>
      </c>
      <c r="AD292" s="2">
        <v>101.8</v>
      </c>
    </row>
    <row r="293" spans="2:30">
      <c r="C293" s="1" t="s">
        <v>182</v>
      </c>
      <c r="F293" s="2">
        <v>215.2</v>
      </c>
      <c r="G293" s="2">
        <v>215.4</v>
      </c>
      <c r="H293" s="2">
        <v>179.6</v>
      </c>
      <c r="I293" s="2">
        <v>199.3</v>
      </c>
      <c r="J293" s="2">
        <v>185.3</v>
      </c>
      <c r="K293" s="1">
        <f t="shared" si="263"/>
        <v>190.85900000000001</v>
      </c>
      <c r="L293" s="1">
        <f t="shared" si="263"/>
        <v>196.58477000000002</v>
      </c>
      <c r="M293" s="1">
        <f t="shared" si="263"/>
        <v>202.48231310000003</v>
      </c>
      <c r="N293" s="1">
        <f t="shared" si="263"/>
        <v>208.55678249300004</v>
      </c>
      <c r="O293" s="1">
        <f t="shared" si="263"/>
        <v>214.81348596779006</v>
      </c>
      <c r="P293" s="1">
        <f t="shared" si="263"/>
        <v>221.25789054682377</v>
      </c>
      <c r="Q293" s="1">
        <f t="shared" si="263"/>
        <v>227.8956272632285</v>
      </c>
      <c r="R293" s="1">
        <f t="shared" si="263"/>
        <v>234.73249608112536</v>
      </c>
      <c r="S293" s="1">
        <f t="shared" si="263"/>
        <v>241.77447096355914</v>
      </c>
      <c r="T293" s="1">
        <f t="shared" si="263"/>
        <v>249.02770509246591</v>
      </c>
      <c r="U293" s="1">
        <f t="shared" si="263"/>
        <v>256.4985362452399</v>
      </c>
      <c r="X293" s="2">
        <v>211.5</v>
      </c>
      <c r="Y293" s="1">
        <f>Y371/Y305</f>
        <v>163.94627654057339</v>
      </c>
      <c r="Z293" s="2">
        <v>196.1</v>
      </c>
      <c r="AA293" s="1">
        <f>AA371/AA305</f>
        <v>201.51511649567243</v>
      </c>
      <c r="AB293" s="2">
        <v>185.5</v>
      </c>
      <c r="AC293" s="1">
        <f>AC371/AC305</f>
        <v>185.15414232366354</v>
      </c>
      <c r="AD293" s="2">
        <v>191.3</v>
      </c>
    </row>
    <row r="295" spans="2:30" s="21" customFormat="1" ht="19">
      <c r="C295" s="31" t="s">
        <v>30</v>
      </c>
      <c r="G295" s="8">
        <f t="shared" ref="G295:U296" si="264">G289/F289-1</f>
        <v>3.0072182219056165E-2</v>
      </c>
      <c r="H295" s="8">
        <f t="shared" si="264"/>
        <v>3.3819545454804478E-2</v>
      </c>
      <c r="I295" s="8">
        <f t="shared" si="264"/>
        <v>3.447327348712248E-2</v>
      </c>
      <c r="J295" s="8">
        <f t="shared" si="264"/>
        <v>4.0711755849174969E-2</v>
      </c>
      <c r="K295" s="8">
        <f t="shared" si="264"/>
        <v>3.4657066432548511E-2</v>
      </c>
      <c r="L295" s="8">
        <f t="shared" si="264"/>
        <v>2.4901419135045622E-2</v>
      </c>
      <c r="M295" s="8">
        <f t="shared" si="264"/>
        <v>3.0876234465885943E-2</v>
      </c>
      <c r="N295" s="8">
        <f t="shared" si="264"/>
        <v>3.1052903146398858E-2</v>
      </c>
      <c r="O295" s="8">
        <f t="shared" si="264"/>
        <v>3.1130346333309022E-2</v>
      </c>
      <c r="P295" s="8">
        <f t="shared" si="264"/>
        <v>3.0893855016930649E-2</v>
      </c>
      <c r="Q295" s="8">
        <f t="shared" si="264"/>
        <v>3.043771221482916E-2</v>
      </c>
      <c r="R295" s="8">
        <f t="shared" si="264"/>
        <v>3.0412039601716678E-2</v>
      </c>
      <c r="S295" s="8">
        <f t="shared" si="264"/>
        <v>3.0529269692079142E-2</v>
      </c>
      <c r="T295" s="8">
        <f t="shared" si="264"/>
        <v>3.036531707313328E-2</v>
      </c>
      <c r="U295" s="8">
        <f t="shared" si="264"/>
        <v>3.0381807048334375E-2</v>
      </c>
      <c r="Z295" s="8">
        <f>Z289/X289-1</f>
        <v>3.3767757734645576E-2</v>
      </c>
      <c r="AA295" s="8">
        <f t="shared" ref="AA295:AD299" si="265">AA289/Y289-1</f>
        <v>3.485318282525296E-2</v>
      </c>
      <c r="AB295" s="8">
        <f t="shared" si="265"/>
        <v>4.1694672668740607E-2</v>
      </c>
      <c r="AC295" s="8">
        <f t="shared" si="265"/>
        <v>3.9961972921559452E-2</v>
      </c>
      <c r="AD295" s="8">
        <f t="shared" si="265"/>
        <v>8.041744034664644E-2</v>
      </c>
    </row>
    <row r="296" spans="2:30" s="21" customFormat="1">
      <c r="C296" s="21" t="s">
        <v>177</v>
      </c>
      <c r="G296" s="8">
        <f>G290/F290-1</f>
        <v>2.2532188841201561E-2</v>
      </c>
      <c r="H296" s="8">
        <f t="shared" si="264"/>
        <v>3.147953830010497E-2</v>
      </c>
      <c r="I296" s="8">
        <f t="shared" si="264"/>
        <v>7.9348931841302095E-2</v>
      </c>
      <c r="J296" s="8">
        <f t="shared" si="264"/>
        <v>3.7700282752120673E-2</v>
      </c>
      <c r="K296" s="9">
        <v>0.08</v>
      </c>
      <c r="L296" s="9">
        <v>3.5000000000000003E-2</v>
      </c>
      <c r="M296" s="9">
        <v>4.4999999999999998E-2</v>
      </c>
      <c r="N296" s="9">
        <v>4.4999999999999998E-2</v>
      </c>
      <c r="O296" s="9">
        <v>4.4999999999999998E-2</v>
      </c>
      <c r="P296" s="9">
        <v>4.4999999999999998E-2</v>
      </c>
      <c r="Q296" s="9">
        <v>0.04</v>
      </c>
      <c r="R296" s="9">
        <v>0.04</v>
      </c>
      <c r="S296" s="9">
        <v>0.04</v>
      </c>
      <c r="T296" s="9">
        <v>0.04</v>
      </c>
      <c r="U296" s="9">
        <v>0.04</v>
      </c>
      <c r="Z296" s="8">
        <f t="shared" ref="Z296:Z299" si="266">Z290/X290-1</f>
        <v>4.743083003952564E-2</v>
      </c>
      <c r="AA296" s="8">
        <f t="shared" si="265"/>
        <v>0.10900053307091628</v>
      </c>
      <c r="AB296" s="8">
        <f t="shared" si="265"/>
        <v>3.7735849056603765E-2</v>
      </c>
      <c r="AC296" s="8">
        <f t="shared" si="265"/>
        <v>3.7659106318041147E-2</v>
      </c>
      <c r="AD296" s="8">
        <f t="shared" si="265"/>
        <v>7.36363636363635E-2</v>
      </c>
    </row>
    <row r="297" spans="2:30" s="21" customFormat="1">
      <c r="C297" s="21" t="s">
        <v>178</v>
      </c>
      <c r="G297" s="8">
        <f t="shared" ref="G297:J299" si="267">G291/F291-1</f>
        <v>2.7874564459930307E-2</v>
      </c>
      <c r="H297" s="8">
        <f t="shared" si="267"/>
        <v>4.6327683615819071E-2</v>
      </c>
      <c r="I297" s="8">
        <f t="shared" si="267"/>
        <v>2.3758099352051865E-2</v>
      </c>
      <c r="J297" s="8">
        <f t="shared" si="267"/>
        <v>4.8523206751055037E-2</v>
      </c>
      <c r="K297" s="9">
        <v>0.1</v>
      </c>
      <c r="L297" s="9">
        <v>0.05</v>
      </c>
      <c r="M297" s="9">
        <v>0.05</v>
      </c>
      <c r="N297" s="9">
        <v>0.05</v>
      </c>
      <c r="O297" s="9">
        <v>0.05</v>
      </c>
      <c r="P297" s="9">
        <v>0.05</v>
      </c>
      <c r="Q297" s="9">
        <v>0.04</v>
      </c>
      <c r="R297" s="9">
        <v>0.04</v>
      </c>
      <c r="S297" s="9">
        <v>0.04</v>
      </c>
      <c r="T297" s="9">
        <v>0.04</v>
      </c>
      <c r="U297" s="9">
        <v>0.04</v>
      </c>
      <c r="Z297" s="8">
        <f t="shared" si="266"/>
        <v>3.8588754134509351E-2</v>
      </c>
      <c r="AA297" s="8">
        <f t="shared" si="265"/>
        <v>1.1844360046600944E-2</v>
      </c>
      <c r="AB297" s="8">
        <f t="shared" si="265"/>
        <v>4.4585987261146487E-2</v>
      </c>
      <c r="AC297" s="8">
        <f t="shared" si="265"/>
        <v>5.1663290094195569E-2</v>
      </c>
      <c r="AD297" s="8">
        <f t="shared" si="265"/>
        <v>9.1463414634146423E-2</v>
      </c>
    </row>
    <row r="298" spans="2:30" s="21" customFormat="1">
      <c r="C298" s="21" t="s">
        <v>181</v>
      </c>
      <c r="G298" s="8">
        <f t="shared" si="267"/>
        <v>3.3407572383073569E-2</v>
      </c>
      <c r="H298" s="8">
        <f t="shared" si="267"/>
        <v>1.8318965517241326E-2</v>
      </c>
      <c r="I298" s="8">
        <f t="shared" si="267"/>
        <v>-2.5396825396825418E-2</v>
      </c>
      <c r="J298" s="8">
        <f t="shared" si="267"/>
        <v>3.0401737242128357E-2</v>
      </c>
      <c r="K298" s="9">
        <v>7.0000000000000007E-2</v>
      </c>
      <c r="L298" s="9">
        <v>0.05</v>
      </c>
      <c r="M298" s="9">
        <v>0.05</v>
      </c>
      <c r="N298" s="9">
        <v>0.05</v>
      </c>
      <c r="O298" s="9">
        <v>0.05</v>
      </c>
      <c r="P298" s="9">
        <v>0.05</v>
      </c>
      <c r="Q298" s="9">
        <v>0.04</v>
      </c>
      <c r="R298" s="9">
        <v>0.04</v>
      </c>
      <c r="S298" s="9">
        <v>0.04</v>
      </c>
      <c r="T298" s="9">
        <v>0.04</v>
      </c>
      <c r="U298" s="9">
        <v>0.04</v>
      </c>
      <c r="Z298" s="8">
        <f t="shared" si="266"/>
        <v>1.436464088397793E-2</v>
      </c>
      <c r="AA298" s="8">
        <f t="shared" si="265"/>
        <v>-5.4287689621559609E-2</v>
      </c>
      <c r="AB298" s="8">
        <f t="shared" si="265"/>
        <v>3.2679738562091609E-2</v>
      </c>
      <c r="AC298" s="8">
        <f t="shared" si="265"/>
        <v>2.8861359628721273E-2</v>
      </c>
      <c r="AD298" s="8">
        <f t="shared" si="265"/>
        <v>7.3839662447257481E-2</v>
      </c>
    </row>
    <row r="299" spans="2:30" s="21" customFormat="1">
      <c r="C299" s="21" t="s">
        <v>182</v>
      </c>
      <c r="G299" s="8">
        <f t="shared" si="267"/>
        <v>9.2936802973975219E-4</v>
      </c>
      <c r="H299" s="8">
        <f t="shared" si="267"/>
        <v>-0.16620241411327763</v>
      </c>
      <c r="I299" s="8">
        <f t="shared" si="267"/>
        <v>0.10968819599109136</v>
      </c>
      <c r="J299" s="8">
        <f t="shared" si="267"/>
        <v>-7.0245860511791269E-2</v>
      </c>
      <c r="K299" s="9">
        <v>0.03</v>
      </c>
      <c r="L299" s="9">
        <v>3.5000000000000003E-2</v>
      </c>
      <c r="M299" s="9">
        <v>3.5000000000000003E-2</v>
      </c>
      <c r="N299" s="9">
        <v>3.5000000000000003E-2</v>
      </c>
      <c r="O299" s="9">
        <v>3.5000000000000003E-2</v>
      </c>
      <c r="P299" s="9">
        <v>3.5000000000000003E-2</v>
      </c>
      <c r="Q299" s="9">
        <v>3.5000000000000003E-2</v>
      </c>
      <c r="R299" s="9">
        <v>3.5000000000000003E-2</v>
      </c>
      <c r="S299" s="9">
        <v>3.5000000000000003E-2</v>
      </c>
      <c r="T299" s="9">
        <v>3.5000000000000003E-2</v>
      </c>
      <c r="U299" s="9">
        <v>3.5000000000000003E-2</v>
      </c>
      <c r="Z299" s="8">
        <f t="shared" si="266"/>
        <v>-7.2813238770685573E-2</v>
      </c>
      <c r="AA299" s="8">
        <f t="shared" si="265"/>
        <v>0.22915335894073507</v>
      </c>
      <c r="AB299" s="8">
        <f t="shared" si="265"/>
        <v>-5.4054054054054057E-2</v>
      </c>
      <c r="AC299" s="8">
        <f t="shared" si="265"/>
        <v>-8.1189810752287928E-2</v>
      </c>
      <c r="AD299" s="8">
        <f t="shared" si="265"/>
        <v>3.126684636118604E-2</v>
      </c>
    </row>
    <row r="301" spans="2:30" s="6" customFormat="1">
      <c r="B301" s="6" t="s">
        <v>188</v>
      </c>
      <c r="F301" s="6">
        <f t="shared" ref="F301:I301" si="268">F302+F303+F304+F305</f>
        <v>63.044350704241651</v>
      </c>
      <c r="G301" s="6">
        <f t="shared" si="268"/>
        <v>81.090502816043539</v>
      </c>
      <c r="H301" s="6">
        <f t="shared" si="268"/>
        <v>106.57789857321066</v>
      </c>
      <c r="I301" s="6">
        <f t="shared" si="268"/>
        <v>163.58104213708322</v>
      </c>
      <c r="J301" s="6">
        <f>J302+J303+J304+J305</f>
        <v>244.13820344940081</v>
      </c>
      <c r="K301" s="6">
        <f>K302+K303+K304+K305</f>
        <v>293.11470562177522</v>
      </c>
      <c r="L301" s="6">
        <f t="shared" ref="L301:U301" si="269">L302+L303+L304+L305</f>
        <v>474.79268201390897</v>
      </c>
      <c r="M301" s="6">
        <f t="shared" si="269"/>
        <v>592.75769235515543</v>
      </c>
      <c r="N301" s="6">
        <f t="shared" si="269"/>
        <v>685.50007744039976</v>
      </c>
      <c r="O301" s="6">
        <f t="shared" si="269"/>
        <v>757.84187634244006</v>
      </c>
      <c r="P301" s="6">
        <f t="shared" si="269"/>
        <v>824.50788324681878</v>
      </c>
      <c r="Q301" s="6">
        <f t="shared" si="269"/>
        <v>893.94811272216134</v>
      </c>
      <c r="R301" s="6">
        <f t="shared" si="269"/>
        <v>948.69643010817515</v>
      </c>
      <c r="S301" s="6">
        <f t="shared" si="269"/>
        <v>989.70866293360336</v>
      </c>
      <c r="T301" s="6">
        <f t="shared" si="269"/>
        <v>1027.3678462263906</v>
      </c>
      <c r="U301" s="6">
        <f t="shared" si="269"/>
        <v>1066.9648161960959</v>
      </c>
      <c r="X301" s="6">
        <f t="shared" ref="X301:AA301" si="270">X302+X303+X304+X305</f>
        <v>48.217589284123903</v>
      </c>
      <c r="Y301" s="6">
        <f t="shared" si="270"/>
        <v>58.360309289086743</v>
      </c>
      <c r="Z301" s="6">
        <f t="shared" si="270"/>
        <v>72.83752291915971</v>
      </c>
      <c r="AA301" s="6">
        <f t="shared" si="270"/>
        <v>90.74351921792352</v>
      </c>
      <c r="AB301" s="6">
        <f>AB302+AB303+AB304+AB305</f>
        <v>108.98959726809635</v>
      </c>
      <c r="AC301" s="6">
        <f>AC302+AC303+AC304+AC305</f>
        <v>135.14860618130444</v>
      </c>
      <c r="AD301" s="6">
        <f>AD302+AD303+AD304+AD305</f>
        <v>81.243084860747899</v>
      </c>
    </row>
    <row r="302" spans="2:30">
      <c r="C302" s="1" t="s">
        <v>177</v>
      </c>
      <c r="F302" s="1">
        <f t="shared" ref="F302:J305" si="271">F368/F290</f>
        <v>24.858336909871245</v>
      </c>
      <c r="G302" s="1">
        <f t="shared" si="271"/>
        <v>28.475897166841555</v>
      </c>
      <c r="H302" s="1">
        <f t="shared" si="271"/>
        <v>30.103997965412006</v>
      </c>
      <c r="I302" s="1">
        <f t="shared" si="271"/>
        <v>38.03628652214892</v>
      </c>
      <c r="J302" s="1">
        <f t="shared" si="271"/>
        <v>58.870345140781112</v>
      </c>
      <c r="K302" s="1">
        <f t="shared" ref="K302:U305" si="272">K324*K330/1000000</f>
        <v>64.918807888211873</v>
      </c>
      <c r="L302" s="1">
        <f t="shared" si="272"/>
        <v>84.915800981267324</v>
      </c>
      <c r="M302" s="1">
        <f t="shared" si="272"/>
        <v>91.957172955639905</v>
      </c>
      <c r="N302" s="1">
        <f t="shared" si="272"/>
        <v>95.71679383550493</v>
      </c>
      <c r="O302" s="1">
        <f t="shared" si="272"/>
        <v>97.03843774199126</v>
      </c>
      <c r="P302" s="1">
        <f t="shared" si="272"/>
        <v>96.630991714024447</v>
      </c>
      <c r="Q302" s="1">
        <f t="shared" si="272"/>
        <v>95.855382133992876</v>
      </c>
      <c r="R302" s="1">
        <f t="shared" si="272"/>
        <v>94.273565531781685</v>
      </c>
      <c r="S302" s="1">
        <f t="shared" si="272"/>
        <v>92.252266531641126</v>
      </c>
      <c r="T302" s="1">
        <f t="shared" si="272"/>
        <v>89.718508308914338</v>
      </c>
      <c r="U302" s="1">
        <f t="shared" si="272"/>
        <v>87.434975216297261</v>
      </c>
      <c r="X302" s="1">
        <f>X368/X290</f>
        <v>14.101590909090907</v>
      </c>
      <c r="Y302" s="1">
        <f>H302-X302</f>
        <v>16.002407056321097</v>
      </c>
      <c r="Z302" s="1">
        <f>Z368/Z290</f>
        <v>16.983320754716981</v>
      </c>
      <c r="AA302" s="1">
        <f>I302-Z302</f>
        <v>21.052965767431939</v>
      </c>
      <c r="AB302" s="1">
        <f>AB368/AB290</f>
        <v>26.04398181818182</v>
      </c>
      <c r="AC302" s="1">
        <f>J302-AB302</f>
        <v>32.826363322599292</v>
      </c>
      <c r="AD302" s="1">
        <f>AD368/AD290</f>
        <v>17.098247248094836</v>
      </c>
    </row>
    <row r="303" spans="2:30">
      <c r="C303" s="1" t="s">
        <v>178</v>
      </c>
      <c r="F303" s="1">
        <f t="shared" si="271"/>
        <v>33.444401858304303</v>
      </c>
      <c r="G303" s="1">
        <f t="shared" si="271"/>
        <v>42.670734463276837</v>
      </c>
      <c r="H303" s="1">
        <f t="shared" si="271"/>
        <v>56.490075593952483</v>
      </c>
      <c r="I303" s="1">
        <f t="shared" si="271"/>
        <v>82.224103375527434</v>
      </c>
      <c r="J303" s="1">
        <f t="shared" si="271"/>
        <v>112.09983903420523</v>
      </c>
      <c r="K303" s="1">
        <f t="shared" si="272"/>
        <v>125.81467391043077</v>
      </c>
      <c r="L303" s="1">
        <f t="shared" si="272"/>
        <v>192.4498943344644</v>
      </c>
      <c r="M303" s="1">
        <f t="shared" si="272"/>
        <v>224.31328580063195</v>
      </c>
      <c r="N303" s="1">
        <f t="shared" si="272"/>
        <v>244.4120262619858</v>
      </c>
      <c r="O303" s="1">
        <f t="shared" si="272"/>
        <v>255.55756521132369</v>
      </c>
      <c r="P303" s="1">
        <f t="shared" si="272"/>
        <v>264.91940645583958</v>
      </c>
      <c r="Q303" s="1">
        <f t="shared" si="272"/>
        <v>272.32226970946016</v>
      </c>
      <c r="R303" s="1">
        <f t="shared" si="272"/>
        <v>276.30825719622385</v>
      </c>
      <c r="S303" s="1">
        <f t="shared" si="272"/>
        <v>275.76786928752392</v>
      </c>
      <c r="T303" s="1">
        <f t="shared" si="272"/>
        <v>275.78409613496848</v>
      </c>
      <c r="U303" s="1">
        <f t="shared" si="272"/>
        <v>275.78928199612176</v>
      </c>
      <c r="X303" s="1">
        <f>X369/X291</f>
        <v>25.794884233737594</v>
      </c>
      <c r="Y303" s="1">
        <f t="shared" ref="Y303:Y305" si="273">H303-X303</f>
        <v>30.695191360214888</v>
      </c>
      <c r="Z303" s="1">
        <f>Z369/Z291</f>
        <v>37.873556263269634</v>
      </c>
      <c r="AA303" s="1">
        <f t="shared" ref="AA303:AA305" si="274">I303-Z303</f>
        <v>44.3505471122578</v>
      </c>
      <c r="AB303" s="1">
        <f>AB369/AB291</f>
        <v>51.060782520325205</v>
      </c>
      <c r="AC303" s="1">
        <f t="shared" ref="AC303:AC305" si="275">J303-AB303</f>
        <v>61.039056513880027</v>
      </c>
      <c r="AD303" s="1">
        <f>AD369/AD291</f>
        <v>35.394674115456233</v>
      </c>
    </row>
    <row r="304" spans="2:30">
      <c r="C304" s="1" t="s">
        <v>181</v>
      </c>
      <c r="F304" s="1">
        <f t="shared" si="271"/>
        <v>3.454097995545657</v>
      </c>
      <c r="G304" s="1">
        <f t="shared" si="271"/>
        <v>7.9051293103448277</v>
      </c>
      <c r="H304" s="1">
        <f t="shared" si="271"/>
        <v>16.067449735449735</v>
      </c>
      <c r="I304" s="1">
        <f t="shared" si="271"/>
        <v>36.684701411509231</v>
      </c>
      <c r="J304" s="1">
        <f t="shared" si="271"/>
        <v>60.896006322444677</v>
      </c>
      <c r="K304" s="1">
        <f t="shared" si="272"/>
        <v>84.699932774746543</v>
      </c>
      <c r="L304" s="1">
        <f t="shared" si="272"/>
        <v>167.5650885150508</v>
      </c>
      <c r="M304" s="1">
        <f t="shared" si="272"/>
        <v>235.46200899215839</v>
      </c>
      <c r="N304" s="1">
        <f t="shared" si="272"/>
        <v>294.57812211553505</v>
      </c>
      <c r="O304" s="1">
        <f t="shared" si="272"/>
        <v>345.91814572749024</v>
      </c>
      <c r="P304" s="1">
        <f t="shared" si="272"/>
        <v>395.41936021418286</v>
      </c>
      <c r="Q304" s="1">
        <f t="shared" si="272"/>
        <v>449.8598411982374</v>
      </c>
      <c r="R304" s="1">
        <f t="shared" si="272"/>
        <v>495.22690868494954</v>
      </c>
      <c r="S304" s="1">
        <f t="shared" si="272"/>
        <v>532.97678339397487</v>
      </c>
      <c r="T304" s="1">
        <f t="shared" si="272"/>
        <v>567.81421666368885</v>
      </c>
      <c r="U304" s="1">
        <f t="shared" si="272"/>
        <v>604.10787065305863</v>
      </c>
      <c r="X304" s="1">
        <f>X370/X292</f>
        <v>7.0319226519337015</v>
      </c>
      <c r="Y304" s="1">
        <f t="shared" si="273"/>
        <v>9.0355270835160333</v>
      </c>
      <c r="Z304" s="1">
        <f>Z370/Z292</f>
        <v>15.266132897603487</v>
      </c>
      <c r="AA304" s="1">
        <f t="shared" si="274"/>
        <v>21.418568513905743</v>
      </c>
      <c r="AB304" s="1">
        <f>AB370/AB292</f>
        <v>26.70938818565401</v>
      </c>
      <c r="AC304" s="1">
        <f t="shared" si="275"/>
        <v>34.186618136790671</v>
      </c>
      <c r="AD304" s="1">
        <f>AD370/AD292</f>
        <v>24.072416502946957</v>
      </c>
    </row>
    <row r="305" spans="3:30">
      <c r="C305" s="1" t="s">
        <v>182</v>
      </c>
      <c r="F305" s="1">
        <f t="shared" si="271"/>
        <v>1.2875139405204461</v>
      </c>
      <c r="G305" s="1">
        <f t="shared" si="271"/>
        <v>2.0387418755803157</v>
      </c>
      <c r="H305" s="1">
        <f t="shared" si="271"/>
        <v>3.9163752783964365</v>
      </c>
      <c r="I305" s="1">
        <f t="shared" si="271"/>
        <v>6.6359508278976413</v>
      </c>
      <c r="J305" s="1">
        <f t="shared" si="271"/>
        <v>12.272012951969778</v>
      </c>
      <c r="K305" s="1">
        <f t="shared" si="272"/>
        <v>17.681291048386022</v>
      </c>
      <c r="L305" s="1">
        <f t="shared" si="272"/>
        <v>29.86189818312647</v>
      </c>
      <c r="M305" s="1">
        <f t="shared" si="272"/>
        <v>41.025224606725139</v>
      </c>
      <c r="N305" s="1">
        <f t="shared" si="272"/>
        <v>50.793135227373988</v>
      </c>
      <c r="O305" s="1">
        <f t="shared" si="272"/>
        <v>59.327727661634832</v>
      </c>
      <c r="P305" s="1">
        <f t="shared" si="272"/>
        <v>67.538124862771994</v>
      </c>
      <c r="Q305" s="1">
        <f t="shared" si="272"/>
        <v>75.910619680471001</v>
      </c>
      <c r="R305" s="1">
        <f t="shared" si="272"/>
        <v>82.887698695220166</v>
      </c>
      <c r="S305" s="1">
        <f t="shared" si="272"/>
        <v>88.711743720463403</v>
      </c>
      <c r="T305" s="1">
        <f t="shared" si="272"/>
        <v>94.051025118818856</v>
      </c>
      <c r="U305" s="1">
        <f t="shared" si="272"/>
        <v>99.632688330618194</v>
      </c>
      <c r="X305" s="1">
        <f>X371/X293</f>
        <v>1.289191489361702</v>
      </c>
      <c r="Y305" s="1">
        <f t="shared" si="273"/>
        <v>2.6271837890347345</v>
      </c>
      <c r="Z305" s="1">
        <f>Z371/Z293</f>
        <v>2.7145130035696075</v>
      </c>
      <c r="AA305" s="1">
        <f t="shared" si="274"/>
        <v>3.9214378243280339</v>
      </c>
      <c r="AB305" s="1">
        <f>AB371/AB293</f>
        <v>5.1754447439353095</v>
      </c>
      <c r="AC305" s="1">
        <f t="shared" si="275"/>
        <v>7.0965682080344683</v>
      </c>
      <c r="AD305" s="1">
        <f>AD371/AD293</f>
        <v>4.6777469942498691</v>
      </c>
    </row>
    <row r="307" spans="3:30" s="21" customFormat="1" ht="19">
      <c r="C307" s="31" t="s">
        <v>30</v>
      </c>
      <c r="G307" s="8">
        <f t="shared" ref="G307:U311" si="276">G301/F301-1</f>
        <v>0.28624534807981994</v>
      </c>
      <c r="H307" s="8">
        <f t="shared" si="276"/>
        <v>0.31430802463990282</v>
      </c>
      <c r="I307" s="8">
        <f t="shared" si="276"/>
        <v>0.53484957319472626</v>
      </c>
      <c r="J307" s="8">
        <f t="shared" si="276"/>
        <v>0.49246025248335035</v>
      </c>
      <c r="K307" s="8">
        <f t="shared" si="276"/>
        <v>0.20060974268013365</v>
      </c>
      <c r="L307" s="8">
        <f t="shared" si="276"/>
        <v>0.61981870205640432</v>
      </c>
      <c r="M307" s="8">
        <f t="shared" si="276"/>
        <v>0.24845583095526869</v>
      </c>
      <c r="N307" s="8">
        <f t="shared" si="276"/>
        <v>0.15645918438739881</v>
      </c>
      <c r="O307" s="8">
        <f t="shared" si="276"/>
        <v>0.10553142338387267</v>
      </c>
      <c r="P307" s="8">
        <f t="shared" si="276"/>
        <v>8.7968227918636233E-2</v>
      </c>
      <c r="Q307" s="8">
        <f t="shared" si="276"/>
        <v>8.4220212912816228E-2</v>
      </c>
      <c r="R307" s="8">
        <f t="shared" si="276"/>
        <v>6.12432831468257E-2</v>
      </c>
      <c r="S307" s="8">
        <f t="shared" si="276"/>
        <v>4.323009081076834E-2</v>
      </c>
      <c r="T307" s="8">
        <f t="shared" si="276"/>
        <v>3.8050776661044283E-2</v>
      </c>
      <c r="U307" s="8">
        <f t="shared" si="276"/>
        <v>3.8542154219784353E-2</v>
      </c>
      <c r="Z307" s="8">
        <f>Z301/X301-1</f>
        <v>0.51060067499355788</v>
      </c>
      <c r="AA307" s="8">
        <f t="shared" ref="AA307:AD311" si="277">AA301/Y301-1</f>
        <v>0.55488413826642224</v>
      </c>
      <c r="AB307" s="8">
        <f t="shared" si="277"/>
        <v>0.49633860268780405</v>
      </c>
      <c r="AC307" s="8">
        <f t="shared" si="277"/>
        <v>0.48934719907369528</v>
      </c>
      <c r="AD307" s="8">
        <f t="shared" si="277"/>
        <v>-0.25457945623100731</v>
      </c>
    </row>
    <row r="308" spans="3:30" s="21" customFormat="1">
      <c r="C308" s="21" t="s">
        <v>177</v>
      </c>
      <c r="G308" s="8">
        <f>G302/F302-1</f>
        <v>0.1455270427014681</v>
      </c>
      <c r="H308" s="8">
        <f t="shared" si="276"/>
        <v>5.7174697219593673E-2</v>
      </c>
      <c r="I308" s="8">
        <f t="shared" si="276"/>
        <v>0.26349618299372457</v>
      </c>
      <c r="J308" s="8">
        <f t="shared" si="276"/>
        <v>0.54774165733819213</v>
      </c>
      <c r="K308" s="8">
        <f t="shared" si="276"/>
        <v>0.10274209762090947</v>
      </c>
      <c r="L308" s="8">
        <f t="shared" si="276"/>
        <v>0.30803081177167702</v>
      </c>
      <c r="M308" s="8">
        <f t="shared" si="276"/>
        <v>8.2921810699588594E-2</v>
      </c>
      <c r="N308" s="8">
        <f t="shared" si="276"/>
        <v>4.0884476534295722E-2</v>
      </c>
      <c r="O308" s="8">
        <f t="shared" si="276"/>
        <v>1.380785809392715E-2</v>
      </c>
      <c r="P308" s="8">
        <f t="shared" si="276"/>
        <v>-4.1988106718097162E-3</v>
      </c>
      <c r="Q308" s="8">
        <f t="shared" si="276"/>
        <v>-8.026509572901408E-3</v>
      </c>
      <c r="R308" s="8">
        <f t="shared" si="276"/>
        <v>-1.6502115655853578E-2</v>
      </c>
      <c r="S308" s="8">
        <f t="shared" si="276"/>
        <v>-2.1440782352282306E-2</v>
      </c>
      <c r="T308" s="8">
        <f t="shared" si="276"/>
        <v>-2.7465538983345694E-2</v>
      </c>
      <c r="U308" s="8">
        <f t="shared" si="276"/>
        <v>-2.5452196382429015E-2</v>
      </c>
      <c r="Z308" s="8">
        <f t="shared" ref="Z308:Z311" si="278">Z302/X302-1</f>
        <v>0.20435494577908253</v>
      </c>
      <c r="AA308" s="8">
        <f t="shared" si="277"/>
        <v>0.31561243838725028</v>
      </c>
      <c r="AB308" s="8">
        <f t="shared" si="277"/>
        <v>0.53350349995293533</v>
      </c>
      <c r="AC308" s="8">
        <f t="shared" si="277"/>
        <v>0.55922750671928179</v>
      </c>
      <c r="AD308" s="8">
        <f t="shared" si="277"/>
        <v>-0.34348567099066973</v>
      </c>
    </row>
    <row r="309" spans="3:30" s="21" customFormat="1">
      <c r="C309" s="21" t="s">
        <v>178</v>
      </c>
      <c r="G309" s="8">
        <f t="shared" ref="G309:J311" si="279">G303/F303-1</f>
        <v>0.27587076139266098</v>
      </c>
      <c r="H309" s="8">
        <f t="shared" si="279"/>
        <v>0.32385993127371182</v>
      </c>
      <c r="I309" s="8">
        <f t="shared" si="279"/>
        <v>0.45554953699389089</v>
      </c>
      <c r="J309" s="8">
        <f t="shared" si="279"/>
        <v>0.36334522885864384</v>
      </c>
      <c r="K309" s="8">
        <f t="shared" si="276"/>
        <v>0.12234482220835941</v>
      </c>
      <c r="L309" s="8">
        <f t="shared" si="276"/>
        <v>0.52962995772235733</v>
      </c>
      <c r="M309" s="8">
        <f t="shared" si="276"/>
        <v>0.16556720686367954</v>
      </c>
      <c r="N309" s="8">
        <f t="shared" si="276"/>
        <v>8.960120391271631E-2</v>
      </c>
      <c r="O309" s="8">
        <f t="shared" si="276"/>
        <v>4.5601434265722052E-2</v>
      </c>
      <c r="P309" s="8">
        <f t="shared" si="276"/>
        <v>3.6633003749172666E-2</v>
      </c>
      <c r="Q309" s="8">
        <f t="shared" si="276"/>
        <v>2.794383149448354E-2</v>
      </c>
      <c r="R309" s="8">
        <f t="shared" si="276"/>
        <v>1.4637023593466303E-2</v>
      </c>
      <c r="S309" s="8">
        <f t="shared" si="276"/>
        <v>-1.9557428872498672E-3</v>
      </c>
      <c r="T309" s="8">
        <f t="shared" si="276"/>
        <v>5.8842415131543646E-5</v>
      </c>
      <c r="U309" s="8">
        <f t="shared" si="276"/>
        <v>1.8804061677091255E-5</v>
      </c>
      <c r="Z309" s="8">
        <f t="shared" si="278"/>
        <v>0.46825843140377921</v>
      </c>
      <c r="AA309" s="8">
        <f t="shared" si="277"/>
        <v>0.44486954297806069</v>
      </c>
      <c r="AB309" s="8">
        <f t="shared" si="277"/>
        <v>0.34819086344539407</v>
      </c>
      <c r="AC309" s="8">
        <f t="shared" si="277"/>
        <v>0.37628643812174722</v>
      </c>
      <c r="AD309" s="8">
        <f t="shared" si="277"/>
        <v>-0.30681293218788674</v>
      </c>
    </row>
    <row r="310" spans="3:30" s="21" customFormat="1">
      <c r="C310" s="21" t="s">
        <v>181</v>
      </c>
      <c r="G310" s="8">
        <f t="shared" si="279"/>
        <v>1.2886233455272955</v>
      </c>
      <c r="H310" s="8">
        <f t="shared" si="279"/>
        <v>1.0325347131796456</v>
      </c>
      <c r="I310" s="8">
        <f t="shared" si="279"/>
        <v>1.2831688921093369</v>
      </c>
      <c r="J310" s="8">
        <f t="shared" si="279"/>
        <v>0.65998369836368753</v>
      </c>
      <c r="K310" s="8">
        <f t="shared" si="276"/>
        <v>0.39089470541401261</v>
      </c>
      <c r="L310" s="8">
        <f t="shared" si="276"/>
        <v>0.97833791628475386</v>
      </c>
      <c r="M310" s="8">
        <f t="shared" si="276"/>
        <v>0.40519729425028195</v>
      </c>
      <c r="N310" s="8">
        <f t="shared" si="276"/>
        <v>0.25106433677521811</v>
      </c>
      <c r="O310" s="8">
        <f t="shared" si="276"/>
        <v>0.17428321982383799</v>
      </c>
      <c r="P310" s="8">
        <f t="shared" si="276"/>
        <v>0.14310094771868087</v>
      </c>
      <c r="Q310" s="8">
        <f t="shared" si="276"/>
        <v>0.13767783386874721</v>
      </c>
      <c r="R310" s="8">
        <f t="shared" si="276"/>
        <v>0.10084711577248884</v>
      </c>
      <c r="S310" s="8">
        <f t="shared" si="276"/>
        <v>7.6227430389976591E-2</v>
      </c>
      <c r="T310" s="8">
        <f t="shared" si="276"/>
        <v>6.536388517314129E-2</v>
      </c>
      <c r="U310" s="8">
        <f t="shared" si="276"/>
        <v>6.3918184723553928E-2</v>
      </c>
      <c r="Z310" s="8">
        <f t="shared" si="278"/>
        <v>1.1709756567651479</v>
      </c>
      <c r="AA310" s="8">
        <f t="shared" si="277"/>
        <v>1.3704835717863895</v>
      </c>
      <c r="AB310" s="8">
        <f t="shared" si="277"/>
        <v>0.74958441439003276</v>
      </c>
      <c r="AC310" s="8">
        <f t="shared" si="277"/>
        <v>0.5961205864245982</v>
      </c>
      <c r="AD310" s="8">
        <f t="shared" si="277"/>
        <v>-9.8728269789549405E-2</v>
      </c>
    </row>
    <row r="311" spans="3:30" s="21" customFormat="1">
      <c r="C311" s="21" t="s">
        <v>182</v>
      </c>
      <c r="G311" s="8">
        <f t="shared" si="279"/>
        <v>0.58347169022201339</v>
      </c>
      <c r="H311" s="8">
        <f t="shared" si="279"/>
        <v>0.92097652248481121</v>
      </c>
      <c r="I311" s="8">
        <f t="shared" si="279"/>
        <v>0.69441137689305843</v>
      </c>
      <c r="J311" s="8">
        <f t="shared" si="279"/>
        <v>0.84932246640195741</v>
      </c>
      <c r="K311" s="8">
        <f t="shared" si="276"/>
        <v>0.44078164825828359</v>
      </c>
      <c r="L311" s="8">
        <f t="shared" si="276"/>
        <v>0.68889806187836689</v>
      </c>
      <c r="M311" s="8">
        <f t="shared" si="276"/>
        <v>0.37383177570093418</v>
      </c>
      <c r="N311" s="8">
        <f t="shared" si="276"/>
        <v>0.23809523809523814</v>
      </c>
      <c r="O311" s="8">
        <f t="shared" si="276"/>
        <v>0.16802649405389114</v>
      </c>
      <c r="P311" s="8">
        <f t="shared" si="276"/>
        <v>0.13839055572739456</v>
      </c>
      <c r="Q311" s="8">
        <f t="shared" si="276"/>
        <v>0.12396694214876036</v>
      </c>
      <c r="R311" s="8">
        <f t="shared" si="276"/>
        <v>9.1911764705882248E-2</v>
      </c>
      <c r="S311" s="8">
        <f t="shared" si="276"/>
        <v>7.0264286702643064E-2</v>
      </c>
      <c r="T311" s="8">
        <f t="shared" si="276"/>
        <v>6.0186861112547563E-2</v>
      </c>
      <c r="U311" s="8">
        <f t="shared" si="276"/>
        <v>5.9347181008902128E-2</v>
      </c>
      <c r="Z311" s="8">
        <f t="shared" si="278"/>
        <v>1.1055933319212365</v>
      </c>
      <c r="AA311" s="8">
        <f t="shared" si="277"/>
        <v>0.49263931998028476</v>
      </c>
      <c r="AB311" s="8">
        <f t="shared" si="277"/>
        <v>0.90658314663792594</v>
      </c>
      <c r="AC311" s="8">
        <f t="shared" si="277"/>
        <v>0.8096852547319211</v>
      </c>
      <c r="AD311" s="8">
        <f t="shared" si="277"/>
        <v>-9.6165213679201722E-2</v>
      </c>
    </row>
    <row r="313" spans="3:30" s="21" customFormat="1" ht="19">
      <c r="C313" s="31" t="s">
        <v>36</v>
      </c>
    </row>
    <row r="314" spans="3:30" s="21" customFormat="1">
      <c r="C314" s="21" t="s">
        <v>177</v>
      </c>
      <c r="G314" s="8">
        <f t="shared" ref="G314:J317" si="280">G302/G$301</f>
        <v>0.35116192621767384</v>
      </c>
      <c r="H314" s="8">
        <f t="shared" si="280"/>
        <v>0.28246004442218309</v>
      </c>
      <c r="I314" s="8">
        <f t="shared" si="280"/>
        <v>0.23252258345605828</v>
      </c>
      <c r="J314" s="8">
        <f>J302/J$301</f>
        <v>0.24113532543866026</v>
      </c>
      <c r="K314" s="8">
        <f t="shared" ref="K314:U317" si="281">K302/K$301</f>
        <v>0.2214791910576496</v>
      </c>
      <c r="L314" s="8">
        <f t="shared" si="281"/>
        <v>0.17884816720654453</v>
      </c>
      <c r="M314" s="8">
        <f t="shared" si="281"/>
        <v>0.15513450798128664</v>
      </c>
      <c r="N314" s="8">
        <f t="shared" si="281"/>
        <v>0.13963060980664432</v>
      </c>
      <c r="O314" s="8">
        <f t="shared" si="281"/>
        <v>0.12804575831877527</v>
      </c>
      <c r="P314" s="8">
        <f t="shared" si="281"/>
        <v>0.1171983842452816</v>
      </c>
      <c r="Q314" s="8">
        <f t="shared" si="281"/>
        <v>0.10722700878253846</v>
      </c>
      <c r="R314" s="8">
        <f t="shared" si="281"/>
        <v>9.9371687865455693E-2</v>
      </c>
      <c r="S314" s="8">
        <f t="shared" si="281"/>
        <v>9.3211537886508378E-2</v>
      </c>
      <c r="T314" s="8">
        <f t="shared" si="281"/>
        <v>8.7328514940834517E-2</v>
      </c>
      <c r="U314" s="8">
        <f t="shared" si="281"/>
        <v>8.1947383727250966E-2</v>
      </c>
    </row>
    <row r="315" spans="3:30" s="21" customFormat="1">
      <c r="C315" s="21" t="s">
        <v>178</v>
      </c>
      <c r="G315" s="8">
        <f t="shared" si="280"/>
        <v>0.52621124523147667</v>
      </c>
      <c r="H315" s="8">
        <f t="shared" si="280"/>
        <v>0.53003555474635511</v>
      </c>
      <c r="I315" s="8">
        <f t="shared" si="280"/>
        <v>0.50265056574601397</v>
      </c>
      <c r="J315" s="8">
        <f t="shared" si="280"/>
        <v>0.45916549499570081</v>
      </c>
      <c r="K315" s="8">
        <f t="shared" si="281"/>
        <v>0.42923357817733493</v>
      </c>
      <c r="L315" s="8">
        <f t="shared" si="281"/>
        <v>0.4053345841771559</v>
      </c>
      <c r="M315" s="8">
        <f t="shared" si="281"/>
        <v>0.3784232388606994</v>
      </c>
      <c r="N315" s="8">
        <f t="shared" si="281"/>
        <v>0.35654558519467999</v>
      </c>
      <c r="O315" s="8">
        <f t="shared" si="281"/>
        <v>0.33721752939375299</v>
      </c>
      <c r="P315" s="8">
        <f t="shared" si="281"/>
        <v>0.32130609280849676</v>
      </c>
      <c r="Q315" s="8">
        <f t="shared" si="281"/>
        <v>0.30462872043010597</v>
      </c>
      <c r="R315" s="8">
        <f t="shared" si="281"/>
        <v>0.29125044474418205</v>
      </c>
      <c r="S315" s="8">
        <f t="shared" si="281"/>
        <v>0.27863540010867255</v>
      </c>
      <c r="T315" s="8">
        <f t="shared" si="281"/>
        <v>0.26843753885032212</v>
      </c>
      <c r="U315" s="8">
        <f t="shared" si="281"/>
        <v>0.25848020272997912</v>
      </c>
    </row>
    <row r="316" spans="3:30" s="21" customFormat="1">
      <c r="C316" s="21" t="s">
        <v>181</v>
      </c>
      <c r="G316" s="8">
        <f t="shared" si="280"/>
        <v>9.7485266903300283E-2</v>
      </c>
      <c r="H316" s="8">
        <f t="shared" si="280"/>
        <v>0.15075780204478939</v>
      </c>
      <c r="I316" s="8">
        <f t="shared" si="280"/>
        <v>0.22426010332399604</v>
      </c>
      <c r="J316" s="8">
        <f t="shared" si="280"/>
        <v>0.24943251593585911</v>
      </c>
      <c r="K316" s="8">
        <f t="shared" si="281"/>
        <v>0.28896514282719177</v>
      </c>
      <c r="L316" s="8">
        <f t="shared" si="281"/>
        <v>0.35292264363531622</v>
      </c>
      <c r="M316" s="8">
        <f t="shared" si="281"/>
        <v>0.39723146916342245</v>
      </c>
      <c r="N316" s="8">
        <f t="shared" si="281"/>
        <v>0.42972733601353519</v>
      </c>
      <c r="O316" s="8">
        <f t="shared" si="281"/>
        <v>0.45645161151161157</v>
      </c>
      <c r="P316" s="8">
        <f t="shared" si="281"/>
        <v>0.4795822674939943</v>
      </c>
      <c r="Q316" s="8">
        <f t="shared" si="281"/>
        <v>0.50322813460433313</v>
      </c>
      <c r="R316" s="8">
        <f t="shared" si="281"/>
        <v>0.52200777084033223</v>
      </c>
      <c r="S316" s="8">
        <f t="shared" si="281"/>
        <v>0.53851886252483039</v>
      </c>
      <c r="T316" s="8">
        <f t="shared" si="281"/>
        <v>0.55268832750540009</v>
      </c>
      <c r="U316" s="8">
        <f t="shared" si="281"/>
        <v>0.56619286923330991</v>
      </c>
    </row>
    <row r="317" spans="3:30" s="21" customFormat="1">
      <c r="C317" s="21" t="s">
        <v>182</v>
      </c>
      <c r="G317" s="8">
        <f t="shared" si="280"/>
        <v>2.5141561647549139E-2</v>
      </c>
      <c r="H317" s="8">
        <f t="shared" si="280"/>
        <v>3.6746598786672392E-2</v>
      </c>
      <c r="I317" s="8">
        <f t="shared" si="280"/>
        <v>4.0566747473931734E-2</v>
      </c>
      <c r="J317" s="8">
        <f t="shared" si="280"/>
        <v>5.0266663629779801E-2</v>
      </c>
      <c r="K317" s="8">
        <f t="shared" si="281"/>
        <v>6.0322087937823669E-2</v>
      </c>
      <c r="L317" s="8">
        <f t="shared" si="281"/>
        <v>6.2894604980983412E-2</v>
      </c>
      <c r="M317" s="8">
        <f t="shared" si="281"/>
        <v>6.9210783994591421E-2</v>
      </c>
      <c r="N317" s="8">
        <f t="shared" si="281"/>
        <v>7.4096468985140496E-2</v>
      </c>
      <c r="O317" s="8">
        <f t="shared" si="281"/>
        <v>7.8285100775860109E-2</v>
      </c>
      <c r="P317" s="8">
        <f t="shared" si="281"/>
        <v>8.1913255452227454E-2</v>
      </c>
      <c r="Q317" s="8">
        <f t="shared" si="281"/>
        <v>8.4916136183022503E-2</v>
      </c>
      <c r="R317" s="8">
        <f t="shared" si="281"/>
        <v>8.7370096550030127E-2</v>
      </c>
      <c r="S317" s="8">
        <f t="shared" si="281"/>
        <v>8.9634199479988602E-2</v>
      </c>
      <c r="T317" s="8">
        <f t="shared" si="281"/>
        <v>9.1545618703443229E-2</v>
      </c>
      <c r="U317" s="8">
        <f t="shared" si="281"/>
        <v>9.3379544309460022E-2</v>
      </c>
    </row>
    <row r="319" spans="3:30" ht="19">
      <c r="C319" s="37" t="s">
        <v>189</v>
      </c>
    </row>
    <row r="320" spans="3:30">
      <c r="C320" s="1" t="s">
        <v>177</v>
      </c>
      <c r="F320" s="38">
        <f t="shared" ref="F320:I320" si="282">F302/F248</f>
        <v>0.35141667304995577</v>
      </c>
      <c r="G320" s="38">
        <f t="shared" si="282"/>
        <v>0.39617041074991827</v>
      </c>
      <c r="H320" s="38">
        <f t="shared" si="282"/>
        <v>0.41285294191220162</v>
      </c>
      <c r="I320" s="38">
        <f t="shared" si="282"/>
        <v>0.51602053596147268</v>
      </c>
      <c r="J320" s="38">
        <f>J302/J248</f>
        <v>0.78952031109601606</v>
      </c>
      <c r="K320" s="38">
        <f t="shared" ref="K320:U320" si="283">K302/K248</f>
        <v>0.86201711284389471</v>
      </c>
      <c r="L320" s="38">
        <f t="shared" si="283"/>
        <v>1.1163811325487889</v>
      </c>
      <c r="M320" s="38">
        <f t="shared" si="283"/>
        <v>1.1969836410797938</v>
      </c>
      <c r="N320" s="38">
        <f t="shared" si="283"/>
        <v>1.2335858323420361</v>
      </c>
      <c r="O320" s="38">
        <f t="shared" si="283"/>
        <v>1.2382366440214789</v>
      </c>
      <c r="P320" s="38">
        <f t="shared" si="283"/>
        <v>1.2208292304815205</v>
      </c>
      <c r="Q320" s="38">
        <f t="shared" si="283"/>
        <v>1.1990398346298838</v>
      </c>
      <c r="R320" s="38">
        <f t="shared" si="283"/>
        <v>1.167577366933511</v>
      </c>
      <c r="S320" s="38">
        <f t="shared" si="283"/>
        <v>1.1312312819105332</v>
      </c>
      <c r="T320" s="38">
        <f t="shared" si="283"/>
        <v>1.0892687178594449</v>
      </c>
      <c r="U320" s="38">
        <f t="shared" si="283"/>
        <v>1.0510340955834154</v>
      </c>
    </row>
    <row r="321" spans="2:30">
      <c r="C321" s="1" t="s">
        <v>178</v>
      </c>
      <c r="F321" s="38">
        <f t="shared" ref="F321:I321" si="284">F303/F250</f>
        <v>0.13580418614217971</v>
      </c>
      <c r="G321" s="38">
        <f t="shared" si="284"/>
        <v>0.17093879904752171</v>
      </c>
      <c r="H321" s="38">
        <f t="shared" si="284"/>
        <v>0.22292416442599364</v>
      </c>
      <c r="I321" s="38">
        <f t="shared" si="284"/>
        <v>0.32009071785394755</v>
      </c>
      <c r="J321" s="38">
        <f>J303/J250</f>
        <v>0.42848131644558463</v>
      </c>
      <c r="K321" s="38">
        <f t="shared" ref="K321:U321" si="285">K303/K250</f>
        <v>0.47379683440957976</v>
      </c>
      <c r="L321" s="38">
        <f t="shared" si="285"/>
        <v>0.71402347959301715</v>
      </c>
      <c r="M321" s="38">
        <f t="shared" si="285"/>
        <v>0.81994320467420545</v>
      </c>
      <c r="N321" s="38">
        <f t="shared" si="285"/>
        <v>0.88020798320499039</v>
      </c>
      <c r="O321" s="38">
        <f t="shared" si="285"/>
        <v>0.90674554649386874</v>
      </c>
      <c r="P321" s="38">
        <f t="shared" si="285"/>
        <v>0.92607129014593537</v>
      </c>
      <c r="Q321" s="38">
        <f t="shared" si="285"/>
        <v>0.93788105441345071</v>
      </c>
      <c r="R321" s="38">
        <f t="shared" si="285"/>
        <v>0.93754565668449819</v>
      </c>
      <c r="S321" s="38">
        <f t="shared" si="285"/>
        <v>0.92188380141375925</v>
      </c>
      <c r="T321" s="38">
        <f t="shared" si="285"/>
        <v>0.90831334707695088</v>
      </c>
      <c r="U321" s="38">
        <f t="shared" si="285"/>
        <v>0.8949068246868489</v>
      </c>
    </row>
    <row r="323" spans="2:30">
      <c r="B323" s="1" t="s">
        <v>190</v>
      </c>
      <c r="F323" s="1">
        <f t="shared" ref="F323:U327" si="286">F301/F329*1000000</f>
        <v>1373.2409723367261</v>
      </c>
      <c r="G323" s="1">
        <f t="shared" si="286"/>
        <v>1415.8763203217327</v>
      </c>
      <c r="H323" s="1">
        <f t="shared" si="286"/>
        <v>1440.6546055984493</v>
      </c>
      <c r="I323" s="1">
        <f t="shared" si="286"/>
        <v>1266.0681421489546</v>
      </c>
      <c r="J323" s="1">
        <f t="shared" si="286"/>
        <v>1104.4403835730623</v>
      </c>
      <c r="K323" s="1">
        <f t="shared" si="286"/>
        <v>849.26813512790591</v>
      </c>
      <c r="L323" s="1">
        <f t="shared" si="286"/>
        <v>986.95134182948209</v>
      </c>
      <c r="M323" s="1">
        <f t="shared" si="286"/>
        <v>945.28153532325803</v>
      </c>
      <c r="N323" s="1">
        <f t="shared" si="286"/>
        <v>908.1636382719056</v>
      </c>
      <c r="O323" s="1">
        <f t="shared" si="286"/>
        <v>874.41141026810112</v>
      </c>
      <c r="P323" s="1">
        <f t="shared" si="286"/>
        <v>846.67380342036392</v>
      </c>
      <c r="Q323" s="1">
        <f t="shared" si="286"/>
        <v>825.1930295038967</v>
      </c>
      <c r="R323" s="1">
        <f t="shared" si="286"/>
        <v>807.69679977198052</v>
      </c>
      <c r="S323" s="1">
        <f t="shared" si="286"/>
        <v>791.14161201674472</v>
      </c>
      <c r="T323" s="1">
        <f t="shared" si="286"/>
        <v>777.97303151396034</v>
      </c>
      <c r="U323" s="1">
        <f t="shared" si="286"/>
        <v>765.63417424032934</v>
      </c>
      <c r="X323" s="1">
        <f>X301/X329*1000000</f>
        <v>1447.9353827118266</v>
      </c>
      <c r="Y323" s="1">
        <f t="shared" ref="Y323:AD327" si="287">Y301/Y329*1000000</f>
        <v>1434.6942001042951</v>
      </c>
      <c r="Z323" s="1">
        <f t="shared" si="287"/>
        <v>1325.2829374282414</v>
      </c>
      <c r="AA323" s="1">
        <f t="shared" si="287"/>
        <v>1222.233705321959</v>
      </c>
      <c r="AB323" s="1">
        <f t="shared" si="287"/>
        <v>1137.2095771377808</v>
      </c>
      <c r="AC323" s="1">
        <f t="shared" si="287"/>
        <v>1079.3582578451301</v>
      </c>
      <c r="AD323" s="1">
        <f t="shared" si="287"/>
        <v>524.2402538554968</v>
      </c>
    </row>
    <row r="324" spans="2:30" outlineLevel="1">
      <c r="C324" s="1" t="s">
        <v>177</v>
      </c>
      <c r="F324" s="2">
        <v>1412</v>
      </c>
      <c r="G324" s="2">
        <v>1472</v>
      </c>
      <c r="H324" s="2">
        <v>1546</v>
      </c>
      <c r="I324" s="1">
        <f t="shared" si="286"/>
        <v>1315.9089109149811</v>
      </c>
      <c r="J324" s="1">
        <f t="shared" si="286"/>
        <v>1095.9146867117374</v>
      </c>
      <c r="K324" s="1">
        <f t="shared" ref="K324:U327" si="288">K355*K349</f>
        <v>854.81345563515526</v>
      </c>
      <c r="L324" s="1">
        <f t="shared" si="288"/>
        <v>957.39107031137405</v>
      </c>
      <c r="M324" s="1">
        <f t="shared" si="288"/>
        <v>909.52151679580527</v>
      </c>
      <c r="N324" s="1">
        <f t="shared" si="288"/>
        <v>864.04544095601489</v>
      </c>
      <c r="O324" s="1">
        <f t="shared" si="288"/>
        <v>820.84316890821424</v>
      </c>
      <c r="P324" s="1">
        <f t="shared" si="288"/>
        <v>779.80101046280345</v>
      </c>
      <c r="Q324" s="1">
        <f t="shared" si="288"/>
        <v>740.81095993966323</v>
      </c>
      <c r="R324" s="1">
        <f t="shared" si="288"/>
        <v>703.77041194267997</v>
      </c>
      <c r="S324" s="1">
        <f t="shared" si="288"/>
        <v>668.58189134554596</v>
      </c>
      <c r="T324" s="1">
        <f t="shared" si="288"/>
        <v>635.15279677826857</v>
      </c>
      <c r="U324" s="1">
        <f t="shared" si="288"/>
        <v>603.39515693935516</v>
      </c>
      <c r="X324" s="2">
        <v>1469</v>
      </c>
      <c r="Y324" s="1">
        <f>Y302/Y330*1000000</f>
        <v>1620.8685682548441</v>
      </c>
      <c r="Z324" s="2">
        <v>1418</v>
      </c>
      <c r="AA324" s="1">
        <f t="shared" si="287"/>
        <v>1243.6770892859131</v>
      </c>
      <c r="AB324" s="1">
        <f t="shared" si="287"/>
        <v>1141.9793834158475</v>
      </c>
      <c r="AC324" s="1">
        <f t="shared" si="287"/>
        <v>1061.92945531183</v>
      </c>
      <c r="AD324" s="1">
        <f t="shared" si="287"/>
        <v>467.39509179637082</v>
      </c>
    </row>
    <row r="325" spans="2:30" outlineLevel="1">
      <c r="C325" s="1" t="s">
        <v>178</v>
      </c>
      <c r="F325" s="2">
        <v>1471</v>
      </c>
      <c r="G325" s="2">
        <v>1559</v>
      </c>
      <c r="H325" s="2">
        <v>1589</v>
      </c>
      <c r="I325" s="1">
        <f t="shared" si="286"/>
        <v>1402.5653924366923</v>
      </c>
      <c r="J325" s="1">
        <f t="shared" si="286"/>
        <v>1165.5213041610027</v>
      </c>
      <c r="K325" s="1">
        <f t="shared" si="288"/>
        <v>874.14097812075204</v>
      </c>
      <c r="L325" s="1">
        <f t="shared" si="288"/>
        <v>1005.2621248388649</v>
      </c>
      <c r="M325" s="1">
        <f t="shared" si="288"/>
        <v>924.84115485175562</v>
      </c>
      <c r="N325" s="1">
        <f t="shared" si="288"/>
        <v>850.85386246361531</v>
      </c>
      <c r="O325" s="1">
        <f t="shared" si="288"/>
        <v>782.78555346652604</v>
      </c>
      <c r="P325" s="1">
        <f t="shared" si="288"/>
        <v>727.99056472386917</v>
      </c>
      <c r="Q325" s="1">
        <f t="shared" si="288"/>
        <v>677.03122519319822</v>
      </c>
      <c r="R325" s="1">
        <f t="shared" si="288"/>
        <v>636.40935168160638</v>
      </c>
      <c r="S325" s="1">
        <f t="shared" si="288"/>
        <v>598.22479058070996</v>
      </c>
      <c r="T325" s="1">
        <f t="shared" si="288"/>
        <v>568.31355105167449</v>
      </c>
      <c r="U325" s="1">
        <f t="shared" si="288"/>
        <v>539.89787349909068</v>
      </c>
      <c r="X325" s="2">
        <v>1642</v>
      </c>
      <c r="Y325" s="1">
        <f>Y303/Y331*1000000</f>
        <v>1547.0369881073468</v>
      </c>
      <c r="Z325" s="2">
        <v>1485</v>
      </c>
      <c r="AA325" s="1">
        <f t="shared" si="287"/>
        <v>1339.0865673990882</v>
      </c>
      <c r="AB325" s="1">
        <f t="shared" si="287"/>
        <v>1215.9645294419224</v>
      </c>
      <c r="AC325" s="1">
        <f t="shared" si="287"/>
        <v>1126.4312488720755</v>
      </c>
      <c r="AD325" s="1">
        <f t="shared" si="287"/>
        <v>539.46250042609063</v>
      </c>
    </row>
    <row r="326" spans="2:30" outlineLevel="1">
      <c r="C326" s="1" t="s">
        <v>181</v>
      </c>
      <c r="F326" s="2">
        <v>962</v>
      </c>
      <c r="G326" s="2">
        <v>1027</v>
      </c>
      <c r="H326" s="2">
        <v>1112</v>
      </c>
      <c r="I326" s="1">
        <f t="shared" si="286"/>
        <v>1146.8591838623111</v>
      </c>
      <c r="J326" s="1">
        <f t="shared" si="286"/>
        <v>1101.9109424298761</v>
      </c>
      <c r="K326" s="1">
        <f t="shared" si="288"/>
        <v>848.47142567100457</v>
      </c>
      <c r="L326" s="1">
        <f t="shared" si="288"/>
        <v>1035.1351393186255</v>
      </c>
      <c r="M326" s="1">
        <f t="shared" si="288"/>
        <v>1024.7837879254394</v>
      </c>
      <c r="N326" s="1">
        <f t="shared" si="288"/>
        <v>1014.5359500461848</v>
      </c>
      <c r="O326" s="1">
        <f t="shared" si="288"/>
        <v>1004.3905905457229</v>
      </c>
      <c r="P326" s="1">
        <f t="shared" si="288"/>
        <v>994.34668464026572</v>
      </c>
      <c r="Q326" s="1">
        <f t="shared" si="288"/>
        <v>994.34668464026572</v>
      </c>
      <c r="R326" s="1">
        <f t="shared" si="288"/>
        <v>994.34668464026572</v>
      </c>
      <c r="S326" s="1">
        <f t="shared" si="288"/>
        <v>994.34668464026572</v>
      </c>
      <c r="T326" s="1">
        <f t="shared" si="288"/>
        <v>994.34668464026572</v>
      </c>
      <c r="U326" s="1">
        <f t="shared" si="288"/>
        <v>994.34668464026572</v>
      </c>
      <c r="X326" s="2">
        <v>1133</v>
      </c>
      <c r="Y326" s="1">
        <f>Y304/Y332*1000000</f>
        <v>1096.1877051274635</v>
      </c>
      <c r="Z326" s="2">
        <v>1139</v>
      </c>
      <c r="AA326" s="1">
        <f t="shared" si="287"/>
        <v>1152.5273629953585</v>
      </c>
      <c r="AB326" s="1">
        <f t="shared" si="287"/>
        <v>1117.9218226039682</v>
      </c>
      <c r="AC326" s="1">
        <f t="shared" si="287"/>
        <v>1089.717523166858</v>
      </c>
      <c r="AD326" s="1">
        <f t="shared" si="287"/>
        <v>573.82223315169972</v>
      </c>
    </row>
    <row r="327" spans="2:30" outlineLevel="1">
      <c r="C327" s="1" t="s">
        <v>182</v>
      </c>
      <c r="F327" s="2">
        <v>651</v>
      </c>
      <c r="G327" s="2">
        <v>713</v>
      </c>
      <c r="H327" s="2">
        <v>869</v>
      </c>
      <c r="I327" s="1">
        <f t="shared" si="286"/>
        <v>684.97695696749054</v>
      </c>
      <c r="J327" s="1">
        <f t="shared" si="286"/>
        <v>772.33474634002187</v>
      </c>
      <c r="K327" s="1">
        <f t="shared" si="288"/>
        <v>695.1012717060197</v>
      </c>
      <c r="L327" s="1">
        <f t="shared" si="288"/>
        <v>764.61139887662182</v>
      </c>
      <c r="M327" s="1">
        <f t="shared" si="288"/>
        <v>764.61139887662182</v>
      </c>
      <c r="N327" s="1">
        <f t="shared" si="288"/>
        <v>764.61139887662182</v>
      </c>
      <c r="O327" s="1">
        <f t="shared" si="288"/>
        <v>764.61139887662182</v>
      </c>
      <c r="P327" s="1">
        <f t="shared" si="288"/>
        <v>764.61139887662182</v>
      </c>
      <c r="Q327" s="1">
        <f t="shared" si="288"/>
        <v>764.61139887662182</v>
      </c>
      <c r="R327" s="1">
        <f t="shared" si="288"/>
        <v>764.61139887662182</v>
      </c>
      <c r="S327" s="1">
        <f t="shared" si="288"/>
        <v>764.61139887662182</v>
      </c>
      <c r="T327" s="1">
        <f t="shared" si="288"/>
        <v>764.61139887662182</v>
      </c>
      <c r="U327" s="1">
        <f t="shared" si="288"/>
        <v>764.61139887662182</v>
      </c>
      <c r="X327" s="2">
        <v>722</v>
      </c>
      <c r="Y327" s="1">
        <f>Y305/Y333*1000000</f>
        <v>965.45855374498296</v>
      </c>
      <c r="Z327" s="2">
        <v>666</v>
      </c>
      <c r="AA327" s="1">
        <f t="shared" si="287"/>
        <v>698.75941274555123</v>
      </c>
      <c r="AB327" s="1">
        <f t="shared" si="287"/>
        <v>723.88904733692004</v>
      </c>
      <c r="AC327" s="1">
        <f t="shared" si="287"/>
        <v>811.96432586206731</v>
      </c>
      <c r="AD327" s="1">
        <f t="shared" si="287"/>
        <v>431.96481616491542</v>
      </c>
    </row>
    <row r="328" spans="2:30" outlineLevel="1"/>
    <row r="329" spans="2:30" s="6" customFormat="1">
      <c r="B329" s="6" t="s">
        <v>191</v>
      </c>
      <c r="F329" s="6">
        <f>F330+F331+F332+F333</f>
        <v>45909.168146188138</v>
      </c>
      <c r="G329" s="6">
        <f t="shared" ref="G329:U329" si="289">G330+G331+G332+G333</f>
        <v>57272.306664198732</v>
      </c>
      <c r="H329" s="6">
        <f t="shared" si="289"/>
        <v>73978.799747728641</v>
      </c>
      <c r="I329" s="6">
        <f t="shared" si="289"/>
        <v>129203.97938410306</v>
      </c>
      <c r="J329" s="6">
        <f t="shared" si="289"/>
        <v>221051.5</v>
      </c>
      <c r="K329" s="6">
        <f t="shared" si="289"/>
        <v>345138</v>
      </c>
      <c r="L329" s="6">
        <f t="shared" si="289"/>
        <v>481070</v>
      </c>
      <c r="M329" s="6">
        <f t="shared" si="289"/>
        <v>627070</v>
      </c>
      <c r="N329" s="6">
        <f t="shared" si="289"/>
        <v>754820</v>
      </c>
      <c r="O329" s="6">
        <f t="shared" si="289"/>
        <v>866688</v>
      </c>
      <c r="P329" s="6">
        <f t="shared" si="289"/>
        <v>973820</v>
      </c>
      <c r="Q329" s="6">
        <f t="shared" si="289"/>
        <v>1083320</v>
      </c>
      <c r="R329" s="6">
        <f t="shared" si="289"/>
        <v>1174570</v>
      </c>
      <c r="S329" s="6">
        <f t="shared" si="289"/>
        <v>1250988</v>
      </c>
      <c r="T329" s="6">
        <f t="shared" si="289"/>
        <v>1320570</v>
      </c>
      <c r="U329" s="6">
        <f t="shared" si="289"/>
        <v>1393570</v>
      </c>
      <c r="X329" s="6">
        <f t="shared" ref="X329:AD329" si="290">X330+X331+X332+X333</f>
        <v>33300.92617380312</v>
      </c>
      <c r="Y329" s="6">
        <f t="shared" si="290"/>
        <v>40677.873573925535</v>
      </c>
      <c r="Z329" s="6">
        <f t="shared" si="290"/>
        <v>54959.97938410307</v>
      </c>
      <c r="AA329" s="6">
        <f t="shared" si="290"/>
        <v>74244</v>
      </c>
      <c r="AB329" s="6">
        <f t="shared" si="290"/>
        <v>95839.5</v>
      </c>
      <c r="AC329" s="6">
        <f t="shared" si="290"/>
        <v>125212</v>
      </c>
      <c r="AD329" s="6">
        <f t="shared" si="290"/>
        <v>154973</v>
      </c>
    </row>
    <row r="330" spans="2:30" outlineLevel="1">
      <c r="C330" s="1" t="s">
        <v>177</v>
      </c>
      <c r="F330" s="1">
        <f t="shared" ref="F330:H333" si="291">F302*1000000/F324</f>
        <v>17605.054468747338</v>
      </c>
      <c r="G330" s="1">
        <f t="shared" si="291"/>
        <v>19345.038836169533</v>
      </c>
      <c r="H330" s="1">
        <f t="shared" si="291"/>
        <v>19472.184971159124</v>
      </c>
      <c r="I330" s="3">
        <f>Z330+AA330</f>
        <v>28904.953987811692</v>
      </c>
      <c r="J330" s="3">
        <f>AB330+AC330</f>
        <v>53718</v>
      </c>
      <c r="K330" s="1">
        <f t="shared" ref="K330:U333" si="292">AVERAGE(J255:K255)*K$2</f>
        <v>75945</v>
      </c>
      <c r="L330" s="1">
        <f t="shared" si="292"/>
        <v>88695</v>
      </c>
      <c r="M330" s="1">
        <f t="shared" si="292"/>
        <v>101105</v>
      </c>
      <c r="N330" s="1">
        <f t="shared" si="292"/>
        <v>110777.5</v>
      </c>
      <c r="O330" s="1">
        <f t="shared" si="292"/>
        <v>118218</v>
      </c>
      <c r="P330" s="1">
        <f t="shared" si="292"/>
        <v>123917.5</v>
      </c>
      <c r="Q330" s="1">
        <f t="shared" si="292"/>
        <v>129392.5</v>
      </c>
      <c r="R330" s="1">
        <f t="shared" si="292"/>
        <v>133955</v>
      </c>
      <c r="S330" s="1">
        <f t="shared" si="292"/>
        <v>137982</v>
      </c>
      <c r="T330" s="1">
        <f t="shared" si="292"/>
        <v>141255</v>
      </c>
      <c r="U330" s="1">
        <f t="shared" si="292"/>
        <v>144905</v>
      </c>
      <c r="X330" s="1">
        <f>X302*1000000/X324</f>
        <v>9599.4492233430265</v>
      </c>
      <c r="Y330" s="1">
        <f>H330-X330</f>
        <v>9872.7357478160975</v>
      </c>
      <c r="Z330" s="1">
        <f>Z302*1000000/Z324</f>
        <v>11976.953987811694</v>
      </c>
      <c r="AA330" s="3">
        <f t="shared" ref="AA330:AD333" si="293">AVERAGE(Z255:AA255)*AA$2</f>
        <v>16928</v>
      </c>
      <c r="AB330" s="3">
        <f t="shared" si="293"/>
        <v>22806</v>
      </c>
      <c r="AC330" s="3">
        <f t="shared" si="293"/>
        <v>30912</v>
      </c>
      <c r="AD330" s="3">
        <f t="shared" si="293"/>
        <v>36582</v>
      </c>
    </row>
    <row r="331" spans="2:30" outlineLevel="1">
      <c r="C331" s="1" t="s">
        <v>178</v>
      </c>
      <c r="F331" s="1">
        <f t="shared" si="291"/>
        <v>22735.827232021958</v>
      </c>
      <c r="G331" s="1">
        <f t="shared" si="291"/>
        <v>27370.580156046719</v>
      </c>
      <c r="H331" s="1">
        <f t="shared" si="291"/>
        <v>35550.708366238192</v>
      </c>
      <c r="I331" s="3">
        <f t="shared" ref="I331:I333" si="294">Z331+AA331</f>
        <v>58624.078291764061</v>
      </c>
      <c r="J331" s="3">
        <f t="shared" ref="J331:J333" si="295">AB331+AC331</f>
        <v>96180</v>
      </c>
      <c r="K331" s="1">
        <f t="shared" si="292"/>
        <v>143929.5</v>
      </c>
      <c r="L331" s="1">
        <f t="shared" si="292"/>
        <v>191442.5</v>
      </c>
      <c r="M331" s="1">
        <f t="shared" si="292"/>
        <v>242542.5</v>
      </c>
      <c r="N331" s="1">
        <f t="shared" si="292"/>
        <v>287255</v>
      </c>
      <c r="O331" s="1">
        <f t="shared" si="292"/>
        <v>326472</v>
      </c>
      <c r="P331" s="1">
        <f t="shared" si="292"/>
        <v>363905</v>
      </c>
      <c r="Q331" s="1">
        <f t="shared" si="292"/>
        <v>402230</v>
      </c>
      <c r="R331" s="1">
        <f t="shared" si="292"/>
        <v>434167.5</v>
      </c>
      <c r="S331" s="1">
        <f t="shared" si="292"/>
        <v>460977</v>
      </c>
      <c r="T331" s="1">
        <f t="shared" si="292"/>
        <v>485267.5</v>
      </c>
      <c r="U331" s="1">
        <f t="shared" si="292"/>
        <v>510817.5</v>
      </c>
      <c r="X331" s="1">
        <f>X303*1000000/X325</f>
        <v>15709.430105808524</v>
      </c>
      <c r="Y331" s="1">
        <f t="shared" ref="Y331:Y333" si="296">H331-X331</f>
        <v>19841.278260429666</v>
      </c>
      <c r="Z331" s="1">
        <f>Z303*1000000/Z325</f>
        <v>25504.078291764061</v>
      </c>
      <c r="AA331" s="3">
        <f t="shared" si="293"/>
        <v>33120</v>
      </c>
      <c r="AB331" s="3">
        <f t="shared" si="293"/>
        <v>41992</v>
      </c>
      <c r="AC331" s="3">
        <f t="shared" si="293"/>
        <v>54188</v>
      </c>
      <c r="AD331" s="3">
        <f t="shared" si="293"/>
        <v>65611</v>
      </c>
    </row>
    <row r="332" spans="2:30" outlineLevel="1">
      <c r="C332" s="1" t="s">
        <v>181</v>
      </c>
      <c r="F332" s="1">
        <f t="shared" si="291"/>
        <v>3590.5384569081671</v>
      </c>
      <c r="G332" s="1">
        <f t="shared" si="291"/>
        <v>7697.3021522344961</v>
      </c>
      <c r="H332" s="1">
        <f t="shared" si="291"/>
        <v>14449.145445548324</v>
      </c>
      <c r="I332" s="3">
        <f t="shared" si="294"/>
        <v>31987.1017538222</v>
      </c>
      <c r="J332" s="3">
        <f t="shared" si="295"/>
        <v>55264</v>
      </c>
      <c r="K332" s="1">
        <f t="shared" si="292"/>
        <v>99826.5</v>
      </c>
      <c r="L332" s="1">
        <f t="shared" si="292"/>
        <v>161877.5</v>
      </c>
      <c r="M332" s="1">
        <f t="shared" si="292"/>
        <v>229767.5</v>
      </c>
      <c r="N332" s="1">
        <f t="shared" si="292"/>
        <v>290357.5</v>
      </c>
      <c r="O332" s="1">
        <f t="shared" si="292"/>
        <v>344406</v>
      </c>
      <c r="P332" s="1">
        <f t="shared" si="292"/>
        <v>397667.5</v>
      </c>
      <c r="Q332" s="1">
        <f t="shared" si="292"/>
        <v>452417.5</v>
      </c>
      <c r="R332" s="1">
        <f t="shared" si="292"/>
        <v>498042.5</v>
      </c>
      <c r="S332" s="1">
        <f t="shared" si="292"/>
        <v>536007</v>
      </c>
      <c r="T332" s="1">
        <f t="shared" si="292"/>
        <v>571042.5</v>
      </c>
      <c r="U332" s="1">
        <f t="shared" si="292"/>
        <v>607542.5</v>
      </c>
      <c r="X332" s="1">
        <f>X304*1000000/X326</f>
        <v>6206.4630643721994</v>
      </c>
      <c r="Y332" s="1">
        <f t="shared" si="296"/>
        <v>8242.6823811761242</v>
      </c>
      <c r="Z332" s="1">
        <f>Z304*1000000/Z326</f>
        <v>13403.101753822202</v>
      </c>
      <c r="AA332" s="3">
        <f t="shared" si="293"/>
        <v>18584</v>
      </c>
      <c r="AB332" s="3">
        <f t="shared" si="293"/>
        <v>23892</v>
      </c>
      <c r="AC332" s="3">
        <f t="shared" si="293"/>
        <v>31372</v>
      </c>
      <c r="AD332" s="3">
        <f t="shared" si="293"/>
        <v>41951</v>
      </c>
    </row>
    <row r="333" spans="2:30" outlineLevel="1">
      <c r="C333" s="1" t="s">
        <v>182</v>
      </c>
      <c r="F333" s="1">
        <f t="shared" si="291"/>
        <v>1977.7479885106698</v>
      </c>
      <c r="G333" s="1">
        <f t="shared" si="291"/>
        <v>2859.3855197479884</v>
      </c>
      <c r="H333" s="1">
        <f t="shared" si="291"/>
        <v>4506.7609647830113</v>
      </c>
      <c r="I333" s="3">
        <f t="shared" si="294"/>
        <v>9687.8453507051163</v>
      </c>
      <c r="J333" s="3">
        <f t="shared" si="295"/>
        <v>15889.5</v>
      </c>
      <c r="K333" s="1">
        <f t="shared" si="292"/>
        <v>25437</v>
      </c>
      <c r="L333" s="1">
        <f t="shared" si="292"/>
        <v>39055.000000000007</v>
      </c>
      <c r="M333" s="1">
        <f t="shared" si="292"/>
        <v>53655</v>
      </c>
      <c r="N333" s="1">
        <f t="shared" si="292"/>
        <v>66430</v>
      </c>
      <c r="O333" s="1">
        <f t="shared" si="292"/>
        <v>77591.999999999985</v>
      </c>
      <c r="P333" s="1">
        <f t="shared" si="292"/>
        <v>88329.999999999985</v>
      </c>
      <c r="Q333" s="1">
        <f t="shared" si="292"/>
        <v>99279.999999999985</v>
      </c>
      <c r="R333" s="1">
        <f t="shared" si="292"/>
        <v>108404.99999999999</v>
      </c>
      <c r="S333" s="1">
        <f t="shared" si="292"/>
        <v>116021.99999999999</v>
      </c>
      <c r="T333" s="1">
        <f t="shared" si="292"/>
        <v>123004.99999999999</v>
      </c>
      <c r="U333" s="1">
        <f t="shared" si="292"/>
        <v>130304.99999999999</v>
      </c>
      <c r="X333" s="1">
        <f>X305*1000000/X327</f>
        <v>1785.5837802793656</v>
      </c>
      <c r="Y333" s="1">
        <f t="shared" si="296"/>
        <v>2721.1771845036455</v>
      </c>
      <c r="Z333" s="1">
        <f>Z305*1000000/Z327</f>
        <v>4075.8453507051167</v>
      </c>
      <c r="AA333" s="3">
        <f t="shared" si="293"/>
        <v>5612</v>
      </c>
      <c r="AB333" s="3">
        <f t="shared" si="293"/>
        <v>7149.5</v>
      </c>
      <c r="AC333" s="3">
        <f t="shared" si="293"/>
        <v>8740</v>
      </c>
      <c r="AD333" s="3">
        <f t="shared" si="293"/>
        <v>10829</v>
      </c>
    </row>
    <row r="334" spans="2:30" outlineLevel="1"/>
    <row r="335" spans="2:30" ht="19" outlineLevel="1">
      <c r="C335" s="37" t="s">
        <v>192</v>
      </c>
      <c r="F335" s="1">
        <f t="shared" ref="F335:J339" si="297">F329/F254</f>
        <v>314.44635716567217</v>
      </c>
      <c r="G335" s="1">
        <f t="shared" si="297"/>
        <v>325.410833319311</v>
      </c>
      <c r="H335" s="1">
        <f t="shared" si="297"/>
        <v>270.98461446054449</v>
      </c>
      <c r="I335" s="1">
        <f t="shared" si="297"/>
        <v>277.26175833498513</v>
      </c>
      <c r="J335" s="1">
        <f t="shared" si="297"/>
        <v>287.82747395833331</v>
      </c>
      <c r="X335" s="1">
        <f t="shared" ref="X335:AD339" si="298">X329/X254</f>
        <v>164.04397129952275</v>
      </c>
      <c r="Y335" s="1">
        <f t="shared" si="298"/>
        <v>149.00319990448915</v>
      </c>
      <c r="Z335" s="1">
        <f t="shared" si="298"/>
        <v>161.1729600706835</v>
      </c>
      <c r="AA335" s="1">
        <f t="shared" si="298"/>
        <v>159.32188841201716</v>
      </c>
      <c r="AB335" s="1">
        <f t="shared" si="298"/>
        <v>161.61804384485666</v>
      </c>
      <c r="AC335" s="1">
        <f t="shared" si="298"/>
        <v>163.03645833333334</v>
      </c>
      <c r="AD335" s="1">
        <f t="shared" si="298"/>
        <v>165.74652406417113</v>
      </c>
    </row>
    <row r="336" spans="2:30" outlineLevel="1">
      <c r="C336" s="1" t="s">
        <v>177</v>
      </c>
      <c r="F336" s="1">
        <f t="shared" si="297"/>
        <v>352.10108937494675</v>
      </c>
      <c r="G336" s="1">
        <f t="shared" si="297"/>
        <v>351.72797883944605</v>
      </c>
      <c r="H336" s="1">
        <f t="shared" si="297"/>
        <v>299.57207647937116</v>
      </c>
      <c r="I336" s="1">
        <f t="shared" si="297"/>
        <v>272.68824516803483</v>
      </c>
      <c r="J336" s="1">
        <f t="shared" si="297"/>
        <v>282.72631578947369</v>
      </c>
      <c r="X336" s="1">
        <f t="shared" si="298"/>
        <v>168.411389883211</v>
      </c>
      <c r="Y336" s="1">
        <f t="shared" si="298"/>
        <v>151.88824227409381</v>
      </c>
      <c r="Z336" s="1">
        <f t="shared" si="298"/>
        <v>153.55069215143197</v>
      </c>
      <c r="AA336" s="1">
        <f t="shared" si="298"/>
        <v>159.69811320754718</v>
      </c>
      <c r="AB336" s="1">
        <f t="shared" si="298"/>
        <v>156.20547945205479</v>
      </c>
      <c r="AC336" s="1">
        <f t="shared" si="298"/>
        <v>162.69473684210527</v>
      </c>
      <c r="AD336" s="1">
        <f t="shared" si="298"/>
        <v>172.5566037735849</v>
      </c>
    </row>
    <row r="337" spans="2:30" outlineLevel="1">
      <c r="C337" s="1" t="s">
        <v>178</v>
      </c>
      <c r="F337" s="1">
        <f t="shared" si="297"/>
        <v>320.22291876087263</v>
      </c>
      <c r="G337" s="1">
        <f t="shared" si="297"/>
        <v>329.76602597646649</v>
      </c>
      <c r="H337" s="1">
        <f t="shared" si="297"/>
        <v>296.25590305198494</v>
      </c>
      <c r="I337" s="1">
        <f t="shared" si="297"/>
        <v>283.20810768968147</v>
      </c>
      <c r="J337" s="1">
        <f t="shared" si="297"/>
        <v>289.69879518072287</v>
      </c>
      <c r="X337" s="1">
        <f t="shared" si="298"/>
        <v>165.36242216640551</v>
      </c>
      <c r="Y337" s="1">
        <f t="shared" si="298"/>
        <v>165.34398550358054</v>
      </c>
      <c r="Z337" s="1">
        <f t="shared" si="298"/>
        <v>166.69332216839254</v>
      </c>
      <c r="AA337" s="1">
        <f t="shared" si="298"/>
        <v>160</v>
      </c>
      <c r="AB337" s="1">
        <f t="shared" si="298"/>
        <v>163.3929961089494</v>
      </c>
      <c r="AC337" s="1">
        <f t="shared" si="298"/>
        <v>163.21686746987953</v>
      </c>
      <c r="AD337" s="1">
        <f t="shared" si="298"/>
        <v>168.66580976863753</v>
      </c>
    </row>
    <row r="338" spans="2:30" outlineLevel="1">
      <c r="C338" s="1" t="s">
        <v>181</v>
      </c>
      <c r="F338" s="1">
        <f t="shared" si="297"/>
        <v>199.4743587171204</v>
      </c>
      <c r="G338" s="1">
        <f t="shared" si="297"/>
        <v>265.42421214601711</v>
      </c>
      <c r="H338" s="1">
        <f t="shared" si="297"/>
        <v>209.40790500794671</v>
      </c>
      <c r="I338" s="1">
        <f t="shared" si="297"/>
        <v>273.39403208395044</v>
      </c>
      <c r="J338" s="1">
        <f t="shared" si="297"/>
        <v>284.86597938144331</v>
      </c>
      <c r="X338" s="1">
        <f t="shared" si="298"/>
        <v>159.14007857364615</v>
      </c>
      <c r="Y338" s="1">
        <f t="shared" si="298"/>
        <v>119.45916494458152</v>
      </c>
      <c r="Z338" s="1">
        <f t="shared" si="298"/>
        <v>157.68355004496709</v>
      </c>
      <c r="AA338" s="1">
        <f t="shared" si="298"/>
        <v>158.83760683760684</v>
      </c>
      <c r="AB338" s="1">
        <f t="shared" si="298"/>
        <v>162.53061224489795</v>
      </c>
      <c r="AC338" s="1">
        <f t="shared" si="298"/>
        <v>161.71134020618555</v>
      </c>
      <c r="AD338" s="1">
        <f t="shared" si="298"/>
        <v>157.11985018726591</v>
      </c>
    </row>
    <row r="339" spans="2:30" outlineLevel="1">
      <c r="C339" s="1" t="s">
        <v>182</v>
      </c>
      <c r="F339" s="1">
        <f t="shared" si="297"/>
        <v>282.5354269300957</v>
      </c>
      <c r="G339" s="1">
        <f t="shared" si="297"/>
        <v>317.70950219422093</v>
      </c>
      <c r="H339" s="1">
        <f t="shared" si="297"/>
        <v>237.19794551489534</v>
      </c>
      <c r="I339" s="1">
        <f t="shared" si="297"/>
        <v>269.10681529736434</v>
      </c>
      <c r="J339" s="1">
        <f t="shared" si="297"/>
        <v>305.56730769230768</v>
      </c>
      <c r="X339" s="1">
        <f t="shared" si="298"/>
        <v>148.7986483566138</v>
      </c>
      <c r="Y339" s="1">
        <f t="shared" si="298"/>
        <v>143.21985181598134</v>
      </c>
      <c r="Z339" s="1">
        <f t="shared" si="298"/>
        <v>163.03381402820466</v>
      </c>
      <c r="AA339" s="1">
        <f t="shared" si="298"/>
        <v>155.88888888888889</v>
      </c>
      <c r="AB339" s="1">
        <f t="shared" si="298"/>
        <v>166.26744186046511</v>
      </c>
      <c r="AC339" s="1">
        <f t="shared" si="298"/>
        <v>168.07692307692307</v>
      </c>
      <c r="AD339" s="1">
        <f t="shared" si="298"/>
        <v>161.62686567164178</v>
      </c>
    </row>
    <row r="340" spans="2:30" outlineLevel="1"/>
    <row r="341" spans="2:30">
      <c r="B341" s="1" t="s">
        <v>193</v>
      </c>
      <c r="F341" s="20">
        <f t="shared" ref="F341:J341" si="299">F366*1000/F329</f>
        <v>125.97943359773591</v>
      </c>
      <c r="G341" s="20">
        <f t="shared" si="299"/>
        <v>133.7968460905399</v>
      </c>
      <c r="H341" s="20">
        <f t="shared" si="299"/>
        <v>140.74246994416362</v>
      </c>
      <c r="I341" s="20">
        <f t="shared" si="299"/>
        <v>127.95040120903597</v>
      </c>
      <c r="J341" s="20">
        <f t="shared" si="299"/>
        <v>116.16018891525277</v>
      </c>
    </row>
    <row r="342" spans="2:30" s="20" customFormat="1" outlineLevel="1">
      <c r="C342" s="20" t="s">
        <v>177</v>
      </c>
      <c r="F342" s="20">
        <f t="shared" ref="F342:J345" si="300">F368*1000/F330</f>
        <v>131.59840000000003</v>
      </c>
      <c r="G342" s="20">
        <f t="shared" si="300"/>
        <v>140.2816</v>
      </c>
      <c r="H342" s="20">
        <f t="shared" si="300"/>
        <v>151.9718</v>
      </c>
      <c r="I342" s="20">
        <f t="shared" si="300"/>
        <v>139.61793544807946</v>
      </c>
      <c r="J342" s="20">
        <f t="shared" si="300"/>
        <v>120.66020700696228</v>
      </c>
      <c r="X342" s="20">
        <f t="shared" ref="X342:AD345" si="301">X368*1000/X330</f>
        <v>148.66280000000003</v>
      </c>
      <c r="Y342" s="20">
        <f t="shared" si="301"/>
        <v>155.18920379682177</v>
      </c>
      <c r="Z342" s="20">
        <f t="shared" si="301"/>
        <v>150.30799999999999</v>
      </c>
      <c r="AA342" s="20">
        <f t="shared" si="301"/>
        <v>132.05446597353497</v>
      </c>
      <c r="AB342" s="20">
        <f t="shared" si="301"/>
        <v>125.61773217574323</v>
      </c>
      <c r="AC342" s="20">
        <f t="shared" si="301"/>
        <v>117.00268504140787</v>
      </c>
      <c r="AD342" s="20">
        <f t="shared" si="301"/>
        <v>55.199360341151383</v>
      </c>
    </row>
    <row r="343" spans="2:30" s="20" customFormat="1" outlineLevel="1">
      <c r="C343" s="20" t="s">
        <v>178</v>
      </c>
      <c r="F343" s="20">
        <f t="shared" si="300"/>
        <v>126.65309999999998</v>
      </c>
      <c r="G343" s="20">
        <f t="shared" si="300"/>
        <v>137.97149999999999</v>
      </c>
      <c r="H343" s="20">
        <f t="shared" si="300"/>
        <v>147.1414</v>
      </c>
      <c r="I343" s="20">
        <f t="shared" si="300"/>
        <v>132.96319920299842</v>
      </c>
      <c r="J343" s="20">
        <f t="shared" si="300"/>
        <v>115.85281763360366</v>
      </c>
      <c r="X343" s="20">
        <f t="shared" si="301"/>
        <v>148.92940000000002</v>
      </c>
      <c r="Y343" s="20">
        <f t="shared" si="301"/>
        <v>145.72574216482894</v>
      </c>
      <c r="Z343" s="20">
        <f t="shared" si="301"/>
        <v>139.88700000000003</v>
      </c>
      <c r="AA343" s="20">
        <f t="shared" si="301"/>
        <v>127.63152173913046</v>
      </c>
      <c r="AB343" s="20">
        <f t="shared" si="301"/>
        <v>119.65090969708515</v>
      </c>
      <c r="AC343" s="20">
        <f t="shared" si="301"/>
        <v>112.90955562117074</v>
      </c>
      <c r="AD343" s="20">
        <f t="shared" si="301"/>
        <v>57.938272545762146</v>
      </c>
    </row>
    <row r="344" spans="2:30" s="20" customFormat="1" outlineLevel="1">
      <c r="C344" s="20" t="s">
        <v>181</v>
      </c>
      <c r="F344" s="20">
        <f t="shared" si="300"/>
        <v>86.387600000000006</v>
      </c>
      <c r="G344" s="20">
        <f t="shared" si="300"/>
        <v>95.305599999999998</v>
      </c>
      <c r="H344" s="20">
        <f t="shared" si="300"/>
        <v>105.084</v>
      </c>
      <c r="I344" s="20">
        <f t="shared" si="300"/>
        <v>105.62573083371885</v>
      </c>
      <c r="J344" s="20">
        <f t="shared" si="300"/>
        <v>104.57134843659526</v>
      </c>
      <c r="X344" s="20">
        <f t="shared" si="301"/>
        <v>102.5365</v>
      </c>
      <c r="Y344" s="20">
        <f t="shared" si="301"/>
        <v>107.00218196132315</v>
      </c>
      <c r="Z344" s="20">
        <f t="shared" si="301"/>
        <v>104.56019999999998</v>
      </c>
      <c r="AA344" s="20">
        <f t="shared" si="301"/>
        <v>106.39421007318123</v>
      </c>
      <c r="AB344" s="20">
        <f t="shared" si="301"/>
        <v>105.97898878285619</v>
      </c>
      <c r="AC344" s="20">
        <f t="shared" si="301"/>
        <v>103.49933061328574</v>
      </c>
      <c r="AD344" s="20">
        <f t="shared" si="301"/>
        <v>58.415103334843032</v>
      </c>
    </row>
    <row r="345" spans="2:30" s="20" customFormat="1" outlineLevel="1">
      <c r="C345" s="20" t="s">
        <v>182</v>
      </c>
      <c r="F345" s="20">
        <f t="shared" si="300"/>
        <v>140.09520000000001</v>
      </c>
      <c r="G345" s="20">
        <f t="shared" si="300"/>
        <v>153.58019999999999</v>
      </c>
      <c r="H345" s="20">
        <f t="shared" si="300"/>
        <v>156.07239999999999</v>
      </c>
      <c r="I345" s="20">
        <f t="shared" si="300"/>
        <v>136.51590752362085</v>
      </c>
      <c r="J345" s="20">
        <f t="shared" si="300"/>
        <v>143.11362849680606</v>
      </c>
      <c r="X345" s="20">
        <f t="shared" si="301"/>
        <v>152.70300000000003</v>
      </c>
      <c r="Y345" s="20">
        <f t="shared" si="301"/>
        <v>158.28333504073703</v>
      </c>
      <c r="Z345" s="20">
        <f t="shared" si="301"/>
        <v>130.60259999999997</v>
      </c>
      <c r="AA345" s="20">
        <f t="shared" si="301"/>
        <v>140.81058446186742</v>
      </c>
      <c r="AB345" s="20">
        <f t="shared" si="301"/>
        <v>134.28141828099868</v>
      </c>
      <c r="AC345" s="20">
        <f t="shared" si="301"/>
        <v>150.33855835240271</v>
      </c>
      <c r="AD345" s="20">
        <f t="shared" si="301"/>
        <v>82.63486933234833</v>
      </c>
    </row>
    <row r="346" spans="2:30" outlineLevel="1"/>
    <row r="348" spans="2:30" s="6" customFormat="1">
      <c r="B348" s="6" t="s">
        <v>194</v>
      </c>
      <c r="F348" s="39">
        <v>4</v>
      </c>
      <c r="G348" s="39">
        <v>4.5</v>
      </c>
      <c r="H348" s="39">
        <v>5</v>
      </c>
      <c r="I348" s="39">
        <v>5</v>
      </c>
      <c r="J348" s="39">
        <v>4.8</v>
      </c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X348" s="39">
        <v>5</v>
      </c>
      <c r="Y348" s="39"/>
      <c r="Z348" s="39">
        <v>4.9000000000000004</v>
      </c>
      <c r="AA348" s="39"/>
      <c r="AB348" s="39">
        <v>4.8</v>
      </c>
      <c r="AC348" s="39"/>
      <c r="AD348" s="39">
        <v>3.3</v>
      </c>
    </row>
    <row r="349" spans="2:30" s="41" customFormat="1">
      <c r="C349" s="41" t="s">
        <v>177</v>
      </c>
      <c r="F349" s="42">
        <v>3.9</v>
      </c>
      <c r="G349" s="42">
        <v>4.3</v>
      </c>
      <c r="H349" s="42">
        <v>4.8</v>
      </c>
      <c r="I349" s="42">
        <v>5.0999999999999996</v>
      </c>
      <c r="J349" s="42">
        <v>4.7</v>
      </c>
      <c r="K349" s="43">
        <f>J349</f>
        <v>4.7</v>
      </c>
      <c r="L349" s="43">
        <f t="shared" ref="L349:U349" si="302">K349</f>
        <v>4.7</v>
      </c>
      <c r="M349" s="43">
        <f t="shared" si="302"/>
        <v>4.7</v>
      </c>
      <c r="N349" s="43">
        <f t="shared" si="302"/>
        <v>4.7</v>
      </c>
      <c r="O349" s="43">
        <f t="shared" si="302"/>
        <v>4.7</v>
      </c>
      <c r="P349" s="43">
        <f t="shared" si="302"/>
        <v>4.7</v>
      </c>
      <c r="Q349" s="43">
        <f t="shared" si="302"/>
        <v>4.7</v>
      </c>
      <c r="R349" s="43">
        <f t="shared" si="302"/>
        <v>4.7</v>
      </c>
      <c r="S349" s="43">
        <f t="shared" si="302"/>
        <v>4.7</v>
      </c>
      <c r="T349" s="43">
        <f t="shared" si="302"/>
        <v>4.7</v>
      </c>
      <c r="U349" s="43">
        <f t="shared" si="302"/>
        <v>4.7</v>
      </c>
      <c r="X349" s="42">
        <v>4.7</v>
      </c>
      <c r="Z349" s="42">
        <v>4.9000000000000004</v>
      </c>
      <c r="AB349" s="42">
        <v>4.8</v>
      </c>
      <c r="AD349" s="42">
        <v>3</v>
      </c>
    </row>
    <row r="350" spans="2:30" s="41" customFormat="1">
      <c r="C350" s="41" t="s">
        <v>178</v>
      </c>
      <c r="F350" s="42">
        <v>4.0999999999999996</v>
      </c>
      <c r="G350" s="42">
        <v>4.8</v>
      </c>
      <c r="H350" s="42">
        <v>5.2</v>
      </c>
      <c r="I350" s="42">
        <v>5.3</v>
      </c>
      <c r="J350" s="42">
        <v>4.9000000000000004</v>
      </c>
      <c r="K350" s="43">
        <f t="shared" ref="K350:U352" si="303">J350</f>
        <v>4.9000000000000004</v>
      </c>
      <c r="L350" s="43">
        <f t="shared" si="303"/>
        <v>4.9000000000000004</v>
      </c>
      <c r="M350" s="43">
        <f t="shared" si="303"/>
        <v>4.9000000000000004</v>
      </c>
      <c r="N350" s="43">
        <f t="shared" si="303"/>
        <v>4.9000000000000004</v>
      </c>
      <c r="O350" s="43">
        <f t="shared" si="303"/>
        <v>4.9000000000000004</v>
      </c>
      <c r="P350" s="43">
        <f t="shared" si="303"/>
        <v>4.9000000000000004</v>
      </c>
      <c r="Q350" s="43">
        <f t="shared" si="303"/>
        <v>4.9000000000000004</v>
      </c>
      <c r="R350" s="43">
        <f t="shared" si="303"/>
        <v>4.9000000000000004</v>
      </c>
      <c r="S350" s="43">
        <f t="shared" si="303"/>
        <v>4.9000000000000004</v>
      </c>
      <c r="T350" s="43">
        <f t="shared" si="303"/>
        <v>4.9000000000000004</v>
      </c>
      <c r="U350" s="43">
        <f t="shared" si="303"/>
        <v>4.9000000000000004</v>
      </c>
      <c r="X350" s="42">
        <v>5.2</v>
      </c>
      <c r="Z350" s="42">
        <v>5.0999999999999996</v>
      </c>
      <c r="AB350" s="42">
        <v>5</v>
      </c>
      <c r="AD350" s="42">
        <v>3.5</v>
      </c>
    </row>
    <row r="351" spans="2:30" s="41" customFormat="1">
      <c r="C351" s="41" t="s">
        <v>181</v>
      </c>
      <c r="F351" s="42">
        <v>3.5</v>
      </c>
      <c r="G351" s="42">
        <v>4.3</v>
      </c>
      <c r="H351" s="42">
        <v>4.7</v>
      </c>
      <c r="I351" s="42">
        <v>4.8</v>
      </c>
      <c r="J351" s="42">
        <v>4.7</v>
      </c>
      <c r="K351" s="43">
        <f t="shared" si="303"/>
        <v>4.7</v>
      </c>
      <c r="L351" s="43">
        <f t="shared" si="303"/>
        <v>4.7</v>
      </c>
      <c r="M351" s="43">
        <f t="shared" si="303"/>
        <v>4.7</v>
      </c>
      <c r="N351" s="43">
        <f t="shared" si="303"/>
        <v>4.7</v>
      </c>
      <c r="O351" s="43">
        <f t="shared" si="303"/>
        <v>4.7</v>
      </c>
      <c r="P351" s="43">
        <f t="shared" si="303"/>
        <v>4.7</v>
      </c>
      <c r="Q351" s="43">
        <f t="shared" si="303"/>
        <v>4.7</v>
      </c>
      <c r="R351" s="43">
        <f t="shared" si="303"/>
        <v>4.7</v>
      </c>
      <c r="S351" s="43">
        <f t="shared" si="303"/>
        <v>4.7</v>
      </c>
      <c r="T351" s="43">
        <f t="shared" si="303"/>
        <v>4.7</v>
      </c>
      <c r="U351" s="43">
        <f t="shared" si="303"/>
        <v>4.7</v>
      </c>
      <c r="X351" s="42">
        <v>4.7</v>
      </c>
      <c r="Z351" s="42">
        <v>4.5999999999999996</v>
      </c>
      <c r="AB351" s="42">
        <v>4.7</v>
      </c>
      <c r="AD351" s="42">
        <v>3.6</v>
      </c>
    </row>
    <row r="352" spans="2:30" s="41" customFormat="1">
      <c r="C352" s="41" t="s">
        <v>182</v>
      </c>
      <c r="F352" s="42">
        <v>4.4000000000000004</v>
      </c>
      <c r="G352" s="42">
        <v>4.8</v>
      </c>
      <c r="H352" s="42">
        <v>4.4000000000000004</v>
      </c>
      <c r="I352" s="42">
        <v>3.8</v>
      </c>
      <c r="J352" s="42">
        <v>4.0999999999999996</v>
      </c>
      <c r="K352" s="43">
        <f t="shared" si="303"/>
        <v>4.0999999999999996</v>
      </c>
      <c r="L352" s="43">
        <f t="shared" si="303"/>
        <v>4.0999999999999996</v>
      </c>
      <c r="M352" s="43">
        <f t="shared" si="303"/>
        <v>4.0999999999999996</v>
      </c>
      <c r="N352" s="43">
        <f t="shared" si="303"/>
        <v>4.0999999999999996</v>
      </c>
      <c r="O352" s="43">
        <f t="shared" si="303"/>
        <v>4.0999999999999996</v>
      </c>
      <c r="P352" s="43">
        <f t="shared" si="303"/>
        <v>4.0999999999999996</v>
      </c>
      <c r="Q352" s="43">
        <f t="shared" si="303"/>
        <v>4.0999999999999996</v>
      </c>
      <c r="R352" s="43">
        <f t="shared" si="303"/>
        <v>4.0999999999999996</v>
      </c>
      <c r="S352" s="43">
        <f t="shared" si="303"/>
        <v>4.0999999999999996</v>
      </c>
      <c r="T352" s="43">
        <f t="shared" si="303"/>
        <v>4.0999999999999996</v>
      </c>
      <c r="U352" s="43">
        <f t="shared" si="303"/>
        <v>4.0999999999999996</v>
      </c>
      <c r="X352" s="42">
        <v>4.4000000000000004</v>
      </c>
      <c r="Z352" s="42">
        <v>3.7</v>
      </c>
      <c r="AB352" s="42">
        <v>3.9</v>
      </c>
      <c r="AD352" s="42">
        <v>2.6</v>
      </c>
    </row>
    <row r="354" spans="2:30">
      <c r="B354" s="1" t="s">
        <v>195</v>
      </c>
      <c r="F354" s="1">
        <f t="shared" ref="F354:J358" si="304">F323/F348</f>
        <v>343.31024308418154</v>
      </c>
      <c r="G354" s="1">
        <f t="shared" si="304"/>
        <v>314.63918229371836</v>
      </c>
      <c r="H354" s="1">
        <f t="shared" si="304"/>
        <v>288.13092111968984</v>
      </c>
      <c r="I354" s="1">
        <f t="shared" si="304"/>
        <v>253.21362842979093</v>
      </c>
      <c r="J354" s="1">
        <f t="shared" si="304"/>
        <v>230.09174657772132</v>
      </c>
      <c r="X354" s="1">
        <f t="shared" ref="X354" si="305">X323/X348</f>
        <v>289.58707654236531</v>
      </c>
      <c r="Z354" s="1">
        <f t="shared" ref="Z354" si="306">Z323/Z348</f>
        <v>270.46590559760028</v>
      </c>
      <c r="AB354" s="1">
        <f t="shared" ref="AB354" si="307">AB323/AB348</f>
        <v>236.91866190370433</v>
      </c>
      <c r="AD354" s="1">
        <f t="shared" ref="AD354" si="308">AD323/AD348</f>
        <v>158.86068298651418</v>
      </c>
    </row>
    <row r="355" spans="2:30">
      <c r="C355" s="41" t="s">
        <v>177</v>
      </c>
      <c r="F355" s="1">
        <f t="shared" si="304"/>
        <v>362.05128205128204</v>
      </c>
      <c r="G355" s="1">
        <f t="shared" si="304"/>
        <v>342.32558139534888</v>
      </c>
      <c r="H355" s="1">
        <f t="shared" si="304"/>
        <v>322.08333333333337</v>
      </c>
      <c r="I355" s="1">
        <f t="shared" si="304"/>
        <v>258.02135508136888</v>
      </c>
      <c r="J355" s="1">
        <f t="shared" si="304"/>
        <v>233.173337598242</v>
      </c>
      <c r="K355" s="1">
        <f t="shared" ref="K355:U358" si="309">J355*(1+K361)</f>
        <v>181.87520332662876</v>
      </c>
      <c r="L355" s="1">
        <f t="shared" si="309"/>
        <v>203.70022772582425</v>
      </c>
      <c r="M355" s="1">
        <f t="shared" si="309"/>
        <v>193.51521633953303</v>
      </c>
      <c r="N355" s="1">
        <f t="shared" si="309"/>
        <v>183.83945552255636</v>
      </c>
      <c r="O355" s="1">
        <f t="shared" si="309"/>
        <v>174.64748274642855</v>
      </c>
      <c r="P355" s="1">
        <f t="shared" si="309"/>
        <v>165.91510860910711</v>
      </c>
      <c r="Q355" s="1">
        <f t="shared" si="309"/>
        <v>157.61935317865175</v>
      </c>
      <c r="R355" s="1">
        <f t="shared" si="309"/>
        <v>149.73838551971915</v>
      </c>
      <c r="S355" s="1">
        <f t="shared" si="309"/>
        <v>142.25146624373318</v>
      </c>
      <c r="T355" s="1">
        <f t="shared" si="309"/>
        <v>135.13889293154651</v>
      </c>
      <c r="U355" s="1">
        <f t="shared" si="309"/>
        <v>128.38194828496918</v>
      </c>
      <c r="X355" s="1">
        <f>X324/X349</f>
        <v>312.55319148936167</v>
      </c>
      <c r="Z355" s="1">
        <f>Z324/Z349</f>
        <v>289.38775510204079</v>
      </c>
      <c r="AB355" s="1">
        <f>AB324/AB349</f>
        <v>237.91237154496824</v>
      </c>
      <c r="AD355" s="1">
        <f>AD324/AD349</f>
        <v>155.79836393212361</v>
      </c>
    </row>
    <row r="356" spans="2:30">
      <c r="C356" s="41" t="s">
        <v>178</v>
      </c>
      <c r="F356" s="1">
        <f t="shared" si="304"/>
        <v>358.78048780487808</v>
      </c>
      <c r="G356" s="1">
        <f t="shared" si="304"/>
        <v>324.79166666666669</v>
      </c>
      <c r="H356" s="1">
        <f t="shared" si="304"/>
        <v>305.57692307692309</v>
      </c>
      <c r="I356" s="1">
        <f t="shared" si="304"/>
        <v>264.6349797050363</v>
      </c>
      <c r="J356" s="1">
        <f t="shared" si="304"/>
        <v>237.86149064510258</v>
      </c>
      <c r="K356" s="1">
        <f t="shared" si="309"/>
        <v>178.39611798382694</v>
      </c>
      <c r="L356" s="1">
        <f t="shared" si="309"/>
        <v>205.15553568140098</v>
      </c>
      <c r="M356" s="1">
        <f t="shared" si="309"/>
        <v>188.7430928268889</v>
      </c>
      <c r="N356" s="1">
        <f t="shared" si="309"/>
        <v>173.6436454007378</v>
      </c>
      <c r="O356" s="1">
        <f t="shared" si="309"/>
        <v>159.75215376867877</v>
      </c>
      <c r="P356" s="1">
        <f t="shared" si="309"/>
        <v>148.56950300487125</v>
      </c>
      <c r="Q356" s="1">
        <f t="shared" si="309"/>
        <v>138.16963779453025</v>
      </c>
      <c r="R356" s="1">
        <f t="shared" si="309"/>
        <v>129.87945952685843</v>
      </c>
      <c r="S356" s="1">
        <f t="shared" si="309"/>
        <v>122.08669195524692</v>
      </c>
      <c r="T356" s="1">
        <f t="shared" si="309"/>
        <v>115.98235735748457</v>
      </c>
      <c r="U356" s="1">
        <f t="shared" si="309"/>
        <v>110.18323948961034</v>
      </c>
      <c r="X356" s="1">
        <f>X325/X350</f>
        <v>315.76923076923077</v>
      </c>
      <c r="Z356" s="1">
        <f>Z325/Z350</f>
        <v>291.1764705882353</v>
      </c>
      <c r="AB356" s="1">
        <f>AB325/AB350</f>
        <v>243.19290588838447</v>
      </c>
      <c r="AD356" s="1">
        <f>AD325/AD350</f>
        <v>154.13214297888302</v>
      </c>
    </row>
    <row r="357" spans="2:30">
      <c r="C357" s="41" t="s">
        <v>181</v>
      </c>
      <c r="F357" s="1">
        <f t="shared" si="304"/>
        <v>274.85714285714283</v>
      </c>
      <c r="G357" s="1">
        <f t="shared" si="304"/>
        <v>238.83720930232559</v>
      </c>
      <c r="H357" s="1">
        <f t="shared" si="304"/>
        <v>236.59574468085106</v>
      </c>
      <c r="I357" s="1">
        <f t="shared" si="304"/>
        <v>238.92899663798147</v>
      </c>
      <c r="J357" s="1">
        <f t="shared" si="304"/>
        <v>234.44913668720767</v>
      </c>
      <c r="K357" s="1">
        <f t="shared" si="309"/>
        <v>180.52583524914991</v>
      </c>
      <c r="L357" s="1">
        <f t="shared" si="309"/>
        <v>220.24151900396288</v>
      </c>
      <c r="M357" s="1">
        <f t="shared" si="309"/>
        <v>218.03910381392325</v>
      </c>
      <c r="N357" s="1">
        <f t="shared" si="309"/>
        <v>215.858712775784</v>
      </c>
      <c r="O357" s="1">
        <f t="shared" si="309"/>
        <v>213.70012564802616</v>
      </c>
      <c r="P357" s="1">
        <f t="shared" si="309"/>
        <v>211.5631243915459</v>
      </c>
      <c r="Q357" s="1">
        <f t="shared" si="309"/>
        <v>211.5631243915459</v>
      </c>
      <c r="R357" s="1">
        <f t="shared" si="309"/>
        <v>211.5631243915459</v>
      </c>
      <c r="S357" s="1">
        <f t="shared" si="309"/>
        <v>211.5631243915459</v>
      </c>
      <c r="T357" s="1">
        <f t="shared" si="309"/>
        <v>211.5631243915459</v>
      </c>
      <c r="U357" s="1">
        <f t="shared" si="309"/>
        <v>211.5631243915459</v>
      </c>
      <c r="X357" s="1">
        <f>X326/X351</f>
        <v>241.06382978723403</v>
      </c>
      <c r="Z357" s="1">
        <f>Z326/Z351</f>
        <v>247.60869565217394</v>
      </c>
      <c r="AB357" s="1">
        <f>AB326/AB351</f>
        <v>237.8557069370145</v>
      </c>
      <c r="AD357" s="1">
        <f>AD326/AD351</f>
        <v>159.39506476436102</v>
      </c>
    </row>
    <row r="358" spans="2:30">
      <c r="C358" s="41" t="s">
        <v>182</v>
      </c>
      <c r="F358" s="1">
        <f t="shared" si="304"/>
        <v>147.95454545454544</v>
      </c>
      <c r="G358" s="1">
        <f t="shared" si="304"/>
        <v>148.54166666666669</v>
      </c>
      <c r="H358" s="1">
        <f t="shared" si="304"/>
        <v>197.49999999999997</v>
      </c>
      <c r="I358" s="1">
        <f t="shared" si="304"/>
        <v>180.25709393881331</v>
      </c>
      <c r="J358" s="1">
        <f t="shared" si="304"/>
        <v>188.37432837561511</v>
      </c>
      <c r="K358" s="1">
        <f t="shared" si="309"/>
        <v>169.53689553805361</v>
      </c>
      <c r="L358" s="1">
        <f t="shared" si="309"/>
        <v>186.490585091859</v>
      </c>
      <c r="M358" s="1">
        <f t="shared" si="309"/>
        <v>186.490585091859</v>
      </c>
      <c r="N358" s="1">
        <f t="shared" si="309"/>
        <v>186.490585091859</v>
      </c>
      <c r="O358" s="1">
        <f t="shared" si="309"/>
        <v>186.490585091859</v>
      </c>
      <c r="P358" s="1">
        <f t="shared" si="309"/>
        <v>186.490585091859</v>
      </c>
      <c r="Q358" s="1">
        <f t="shared" si="309"/>
        <v>186.490585091859</v>
      </c>
      <c r="R358" s="1">
        <f t="shared" si="309"/>
        <v>186.490585091859</v>
      </c>
      <c r="S358" s="1">
        <f t="shared" si="309"/>
        <v>186.490585091859</v>
      </c>
      <c r="T358" s="1">
        <f t="shared" si="309"/>
        <v>186.490585091859</v>
      </c>
      <c r="U358" s="1">
        <f t="shared" si="309"/>
        <v>186.490585091859</v>
      </c>
      <c r="X358" s="1">
        <f>X327/X352</f>
        <v>164.09090909090907</v>
      </c>
      <c r="Z358" s="1">
        <f>Z327/Z352</f>
        <v>180</v>
      </c>
      <c r="AB358" s="1">
        <f>AB327/AB352</f>
        <v>185.61257624023591</v>
      </c>
      <c r="AD358" s="1">
        <f>AD327/AD352</f>
        <v>166.14031390958286</v>
      </c>
    </row>
    <row r="360" spans="2:30" s="8" customFormat="1">
      <c r="C360" s="44" t="s">
        <v>30</v>
      </c>
      <c r="G360" s="8">
        <f>G354/F354-1</f>
        <v>-8.3513560600150472E-2</v>
      </c>
      <c r="H360" s="8">
        <f>H354/G354-1</f>
        <v>-8.4249714167140333E-2</v>
      </c>
      <c r="I360" s="8">
        <f>I354/H354-1</f>
        <v>-0.12118551023336455</v>
      </c>
      <c r="J360" s="8">
        <f>J354/I354-1</f>
        <v>-9.131373376485008E-2</v>
      </c>
      <c r="Z360" s="8">
        <f>Z354/X354-1</f>
        <v>-6.6029089326324564E-2</v>
      </c>
      <c r="AB360" s="8">
        <f>AB354/Z354-1</f>
        <v>-0.12403501883083046</v>
      </c>
      <c r="AD360" s="8">
        <f>AD354/AB354-1</f>
        <v>-0.32947163507498134</v>
      </c>
    </row>
    <row r="361" spans="2:30" s="8" customFormat="1">
      <c r="C361" s="21" t="s">
        <v>177</v>
      </c>
      <c r="G361" s="8">
        <f t="shared" ref="G361:J364" si="310">G355/F355-1</f>
        <v>-5.4483167534092991E-2</v>
      </c>
      <c r="H361" s="8">
        <f t="shared" si="310"/>
        <v>-5.9131567028985477E-2</v>
      </c>
      <c r="I361" s="8">
        <f t="shared" si="310"/>
        <v>-0.19889876818203722</v>
      </c>
      <c r="J361" s="8">
        <f t="shared" si="310"/>
        <v>-9.6302174195197487E-2</v>
      </c>
      <c r="K361" s="9">
        <v>-0.22</v>
      </c>
      <c r="L361" s="9">
        <f>-K361-10%</f>
        <v>0.12</v>
      </c>
      <c r="M361" s="9">
        <v>-0.05</v>
      </c>
      <c r="N361" s="9">
        <v>-0.05</v>
      </c>
      <c r="O361" s="9">
        <v>-0.05</v>
      </c>
      <c r="P361" s="9">
        <v>-0.05</v>
      </c>
      <c r="Q361" s="9">
        <v>-0.05</v>
      </c>
      <c r="R361" s="9">
        <v>-0.05</v>
      </c>
      <c r="S361" s="9">
        <v>-0.05</v>
      </c>
      <c r="T361" s="9">
        <v>-0.05</v>
      </c>
      <c r="U361" s="9">
        <v>-0.05</v>
      </c>
      <c r="Z361" s="8">
        <f t="shared" ref="Z361:Z364" si="311">Z355/X355-1</f>
        <v>-7.4116780817160111E-2</v>
      </c>
      <c r="AB361" s="8">
        <f t="shared" ref="AB361:AB364" si="312">AB355/Z355-1</f>
        <v>-0.17787685432274714</v>
      </c>
      <c r="AD361" s="8">
        <f t="shared" ref="AD361:AD364" si="313">AD355/AB355-1</f>
        <v>-0.34514391613856921</v>
      </c>
    </row>
    <row r="362" spans="2:30" s="8" customFormat="1">
      <c r="C362" s="21" t="s">
        <v>178</v>
      </c>
      <c r="G362" s="8">
        <f t="shared" si="310"/>
        <v>-9.4734307727169731E-2</v>
      </c>
      <c r="H362" s="8">
        <f t="shared" si="310"/>
        <v>-5.916021118073711E-2</v>
      </c>
      <c r="I362" s="8">
        <f t="shared" si="310"/>
        <v>-0.13398244526986236</v>
      </c>
      <c r="J362" s="8">
        <f t="shared" si="310"/>
        <v>-0.10117139121130403</v>
      </c>
      <c r="K362" s="9">
        <v>-0.25</v>
      </c>
      <c r="L362" s="9">
        <f t="shared" ref="L362" si="314">-K362-10%</f>
        <v>0.15</v>
      </c>
      <c r="M362" s="9">
        <v>-0.08</v>
      </c>
      <c r="N362" s="9">
        <v>-0.08</v>
      </c>
      <c r="O362" s="9">
        <v>-0.08</v>
      </c>
      <c r="P362" s="9">
        <v>-7.0000000000000007E-2</v>
      </c>
      <c r="Q362" s="9">
        <v>-7.0000000000000007E-2</v>
      </c>
      <c r="R362" s="9">
        <v>-0.06</v>
      </c>
      <c r="S362" s="9">
        <v>-0.06</v>
      </c>
      <c r="T362" s="9">
        <v>-0.05</v>
      </c>
      <c r="U362" s="9">
        <v>-0.05</v>
      </c>
      <c r="Z362" s="8">
        <f t="shared" si="311"/>
        <v>-7.7882066346636081E-2</v>
      </c>
      <c r="AB362" s="8">
        <f t="shared" si="312"/>
        <v>-0.16479204038332607</v>
      </c>
      <c r="AD362" s="8">
        <f t="shared" si="313"/>
        <v>-0.36621447728568479</v>
      </c>
    </row>
    <row r="363" spans="2:30" s="8" customFormat="1">
      <c r="C363" s="21" t="s">
        <v>181</v>
      </c>
      <c r="G363" s="8">
        <f t="shared" si="310"/>
        <v>-0.13104965430546811</v>
      </c>
      <c r="H363" s="8">
        <f t="shared" si="310"/>
        <v>-9.3849054258426934E-3</v>
      </c>
      <c r="I363" s="8">
        <f t="shared" si="310"/>
        <v>9.8617663655691246E-3</v>
      </c>
      <c r="J363" s="8">
        <f t="shared" si="310"/>
        <v>-1.8749754168856936E-2</v>
      </c>
      <c r="K363" s="9">
        <v>-0.23</v>
      </c>
      <c r="L363" s="9">
        <f>-K363-1%</f>
        <v>0.22</v>
      </c>
      <c r="M363" s="9">
        <v>-0.01</v>
      </c>
      <c r="N363" s="9">
        <v>-0.01</v>
      </c>
      <c r="O363" s="9">
        <v>-0.01</v>
      </c>
      <c r="P363" s="9">
        <v>-0.01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Z363" s="8">
        <f t="shared" si="311"/>
        <v>2.7149929007252993E-2</v>
      </c>
      <c r="AB363" s="8">
        <f t="shared" si="312"/>
        <v>-3.9388716496693066E-2</v>
      </c>
      <c r="AD363" s="8">
        <f t="shared" si="313"/>
        <v>-0.32986655305870083</v>
      </c>
    </row>
    <row r="364" spans="2:30" s="8" customFormat="1">
      <c r="C364" s="21" t="s">
        <v>182</v>
      </c>
      <c r="G364" s="8">
        <f t="shared" si="310"/>
        <v>3.9682539682541762E-3</v>
      </c>
      <c r="H364" s="8">
        <f t="shared" si="310"/>
        <v>0.32959326788218757</v>
      </c>
      <c r="I364" s="8">
        <f t="shared" si="310"/>
        <v>-8.7305853474362816E-2</v>
      </c>
      <c r="J364" s="8">
        <f t="shared" si="310"/>
        <v>4.5031428497106063E-2</v>
      </c>
      <c r="K364" s="9">
        <v>-0.1</v>
      </c>
      <c r="L364" s="9">
        <f>-K364+0%</f>
        <v>0.1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Z364" s="8">
        <f t="shared" si="311"/>
        <v>9.6952908587257802E-2</v>
      </c>
      <c r="AB364" s="8">
        <f t="shared" si="312"/>
        <v>3.1180979112421792E-2</v>
      </c>
      <c r="AD364" s="8">
        <f t="shared" si="313"/>
        <v>-0.10490809795910794</v>
      </c>
    </row>
    <row r="365" spans="2:30" s="8" customFormat="1"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 spans="2:30" s="6" customFormat="1">
      <c r="B366" s="6" t="s">
        <v>196</v>
      </c>
      <c r="F366" s="6">
        <f t="shared" ref="F366:I366" si="315">F368+F369+F370+F371</f>
        <v>5783.6110000000008</v>
      </c>
      <c r="G366" s="6">
        <f t="shared" si="315"/>
        <v>7662.8540000000012</v>
      </c>
      <c r="H366" s="6">
        <f t="shared" si="315"/>
        <v>10411.958999999999</v>
      </c>
      <c r="I366" s="6">
        <f t="shared" si="315"/>
        <v>16531.701000000001</v>
      </c>
      <c r="J366" s="6">
        <f>J368+J369+J370+J371</f>
        <v>25677.384000000002</v>
      </c>
      <c r="K366" s="6">
        <f>K368+K369+K370+K371</f>
        <v>31896.943372381673</v>
      </c>
      <c r="L366" s="6">
        <f t="shared" ref="L366:U366" si="316">L368+L369+L370+L371</f>
        <v>52953.853644629118</v>
      </c>
      <c r="M366" s="6">
        <f t="shared" si="316"/>
        <v>68151.792114965137</v>
      </c>
      <c r="N366" s="6">
        <f t="shared" si="316"/>
        <v>81262.193216550382</v>
      </c>
      <c r="O366" s="6">
        <f t="shared" si="316"/>
        <v>92634.593328059273</v>
      </c>
      <c r="P366" s="6">
        <f t="shared" si="316"/>
        <v>103897.08500955089</v>
      </c>
      <c r="Q366" s="6">
        <f t="shared" si="316"/>
        <v>116076.04632674839</v>
      </c>
      <c r="R366" s="6">
        <f t="shared" si="316"/>
        <v>126931.22930068438</v>
      </c>
      <c r="S366" s="6">
        <f t="shared" si="316"/>
        <v>136461.11729318558</v>
      </c>
      <c r="T366" s="6">
        <f t="shared" si="316"/>
        <v>145954.92432108123</v>
      </c>
      <c r="U366" s="6">
        <f t="shared" si="316"/>
        <v>156185.62621188589</v>
      </c>
      <c r="X366" s="6">
        <f t="shared" ref="X366:AC366" si="317">X368+X369+X370+X371</f>
        <v>4675.7299999999996</v>
      </c>
      <c r="Y366" s="6">
        <f t="shared" si="317"/>
        <v>5736.2289999999994</v>
      </c>
      <c r="Z366" s="6">
        <f t="shared" si="317"/>
        <v>7301.6680000000006</v>
      </c>
      <c r="AA366" s="6">
        <f t="shared" si="317"/>
        <v>9230.0329999999994</v>
      </c>
      <c r="AB366" s="6">
        <f t="shared" si="317"/>
        <v>11381.314</v>
      </c>
      <c r="AC366" s="6">
        <f t="shared" si="317"/>
        <v>14296.07</v>
      </c>
      <c r="AD366" s="6">
        <f>AD368+AD369+AD370+AD371</f>
        <v>9166.1159999999982</v>
      </c>
    </row>
    <row r="367" spans="2:30" s="8" customFormat="1">
      <c r="C367" s="8" t="s">
        <v>30</v>
      </c>
      <c r="G367" s="8">
        <f t="shared" ref="G367:I367" si="318">G366/F366-1</f>
        <v>0.32492555256568956</v>
      </c>
      <c r="H367" s="8">
        <f t="shared" si="318"/>
        <v>0.35875732462082621</v>
      </c>
      <c r="I367" s="8">
        <f t="shared" si="318"/>
        <v>0.58776086229306146</v>
      </c>
      <c r="J367" s="8">
        <f>J366/I366-1</f>
        <v>0.55322092989705052</v>
      </c>
      <c r="K367" s="8">
        <f t="shared" ref="K367:R367" si="319">K366/J366-1</f>
        <v>0.24221935429176389</v>
      </c>
      <c r="L367" s="8">
        <f t="shared" si="319"/>
        <v>0.66015448647909647</v>
      </c>
      <c r="M367" s="8">
        <f t="shared" si="319"/>
        <v>0.28700344591214622</v>
      </c>
      <c r="N367" s="8">
        <f t="shared" si="319"/>
        <v>0.19237059943294432</v>
      </c>
      <c r="O367" s="8">
        <f t="shared" si="319"/>
        <v>0.13994699947616862</v>
      </c>
      <c r="P367" s="8">
        <f t="shared" si="319"/>
        <v>0.12157976061498155</v>
      </c>
      <c r="Q367" s="8">
        <f t="shared" si="319"/>
        <v>0.11722139573095736</v>
      </c>
      <c r="R367" s="8">
        <f t="shared" si="319"/>
        <v>9.3517855900942637E-2</v>
      </c>
      <c r="S367" s="8">
        <f>S366/R366-1</f>
        <v>7.5079143604022569E-2</v>
      </c>
      <c r="T367" s="8">
        <f t="shared" ref="T367:U367" si="320">T366/S366-1</f>
        <v>6.9571517632369018E-2</v>
      </c>
      <c r="U367" s="8">
        <f t="shared" si="320"/>
        <v>7.0094941560851387E-2</v>
      </c>
      <c r="Z367" s="8">
        <f>Z366/X366-1</f>
        <v>0.56161027262053231</v>
      </c>
      <c r="AA367" s="8">
        <f t="shared" ref="AA367:AD367" si="321">AA366/Y366-1</f>
        <v>0.60907679940950765</v>
      </c>
      <c r="AB367" s="8">
        <f t="shared" si="321"/>
        <v>0.55872795092847261</v>
      </c>
      <c r="AC367" s="8">
        <f t="shared" si="321"/>
        <v>0.54886445151387875</v>
      </c>
      <c r="AD367" s="8">
        <f t="shared" si="321"/>
        <v>-0.19463464411929954</v>
      </c>
    </row>
    <row r="368" spans="2:30">
      <c r="C368" s="1" t="s">
        <v>177</v>
      </c>
      <c r="F368" s="2">
        <v>2316.797</v>
      </c>
      <c r="G368" s="2">
        <v>2713.7530000000002</v>
      </c>
      <c r="H368" s="2">
        <v>2959.223</v>
      </c>
      <c r="I368" s="2">
        <v>4035.65</v>
      </c>
      <c r="J368" s="2">
        <v>6481.625</v>
      </c>
      <c r="K368" s="1">
        <f>K290*K302</f>
        <v>7361.9875709468906</v>
      </c>
      <c r="L368" s="1">
        <f t="shared" ref="L368:U371" si="322">L290*L302</f>
        <v>9918.5977760390178</v>
      </c>
      <c r="M368" s="1">
        <f t="shared" si="322"/>
        <v>11063.297839125957</v>
      </c>
      <c r="N368" s="1">
        <f t="shared" si="322"/>
        <v>11861.083429422275</v>
      </c>
      <c r="O368" s="1">
        <f t="shared" si="322"/>
        <v>12385.605373843648</v>
      </c>
      <c r="P368" s="1">
        <f t="shared" si="322"/>
        <v>12703.608578677824</v>
      </c>
      <c r="Q368" s="1">
        <f t="shared" si="322"/>
        <v>12979.692231094994</v>
      </c>
      <c r="R368" s="1">
        <f t="shared" si="322"/>
        <v>13148.464844181683</v>
      </c>
      <c r="S368" s="1">
        <f t="shared" si="322"/>
        <v>13252.548015326676</v>
      </c>
      <c r="T368" s="1">
        <f t="shared" si="322"/>
        <v>13275.216430418552</v>
      </c>
      <c r="U368" s="1">
        <f t="shared" si="322"/>
        <v>13325.453005256661</v>
      </c>
      <c r="X368" s="2">
        <v>1427.0809999999999</v>
      </c>
      <c r="Y368" s="1">
        <f t="shared" ref="Y368:Y371" si="323">H368-X368</f>
        <v>1532.1420000000001</v>
      </c>
      <c r="Z368" s="2">
        <v>1800.232</v>
      </c>
      <c r="AA368" s="1">
        <f t="shared" ref="AA368:AA371" si="324">I368-Z368</f>
        <v>2235.4180000000001</v>
      </c>
      <c r="AB368" s="2">
        <v>2864.8380000000002</v>
      </c>
      <c r="AC368" s="1">
        <f t="shared" ref="AC368:AC371" si="325">J368-AB368</f>
        <v>3616.7869999999998</v>
      </c>
      <c r="AD368" s="2">
        <v>2019.3030000000001</v>
      </c>
    </row>
    <row r="369" spans="2:31">
      <c r="C369" s="1" t="s">
        <v>178</v>
      </c>
      <c r="F369" s="2">
        <v>2879.5630000000001</v>
      </c>
      <c r="G369" s="2">
        <v>3776.36</v>
      </c>
      <c r="H369" s="2">
        <v>5230.9809999999998</v>
      </c>
      <c r="I369" s="2">
        <v>7794.8450000000003</v>
      </c>
      <c r="J369" s="2">
        <v>11142.724</v>
      </c>
      <c r="K369" s="1">
        <f>K291*K303</f>
        <v>12881.157944297724</v>
      </c>
      <c r="L369" s="1">
        <f t="shared" si="322"/>
        <v>20294.507234203669</v>
      </c>
      <c r="M369" s="1">
        <f t="shared" si="322"/>
        <v>24364.250474994875</v>
      </c>
      <c r="N369" s="1">
        <f t="shared" si="322"/>
        <v>27343.736149484954</v>
      </c>
      <c r="O369" s="1">
        <f t="shared" si="322"/>
        <v>29448.369228167492</v>
      </c>
      <c r="P369" s="1">
        <f t="shared" si="322"/>
        <v>31442.965991965273</v>
      </c>
      <c r="Q369" s="1">
        <f t="shared" si="322"/>
        <v>33291.25102339148</v>
      </c>
      <c r="R369" s="1">
        <f t="shared" si="322"/>
        <v>34791.891925579177</v>
      </c>
      <c r="S369" s="1">
        <f t="shared" si="322"/>
        <v>35765.563368324118</v>
      </c>
      <c r="T369" s="1">
        <f t="shared" si="322"/>
        <v>36840.697937464793</v>
      </c>
      <c r="U369" s="1">
        <f t="shared" si="322"/>
        <v>37946.632412987659</v>
      </c>
      <c r="X369" s="2">
        <v>2339.596</v>
      </c>
      <c r="Y369" s="1">
        <f t="shared" si="323"/>
        <v>2891.3849999999998</v>
      </c>
      <c r="Z369" s="2">
        <v>3567.6889999999999</v>
      </c>
      <c r="AA369" s="1">
        <f t="shared" si="324"/>
        <v>4227.1560000000009</v>
      </c>
      <c r="AB369" s="2">
        <v>5024.3810000000003</v>
      </c>
      <c r="AC369" s="1">
        <f t="shared" si="325"/>
        <v>6118.3429999999998</v>
      </c>
      <c r="AD369" s="2">
        <v>3801.3879999999999</v>
      </c>
    </row>
    <row r="370" spans="2:31">
      <c r="C370" s="1" t="s">
        <v>181</v>
      </c>
      <c r="F370" s="2">
        <v>310.178</v>
      </c>
      <c r="G370" s="2">
        <v>733.596</v>
      </c>
      <c r="H370" s="2">
        <v>1518.374</v>
      </c>
      <c r="I370" s="2">
        <v>3378.6610000000001</v>
      </c>
      <c r="J370" s="2">
        <v>5779.0309999999999</v>
      </c>
      <c r="K370" s="1">
        <f>K292*K304</f>
        <v>8279.1643289331514</v>
      </c>
      <c r="L370" s="1">
        <f t="shared" si="322"/>
        <v>16870.354248293093</v>
      </c>
      <c r="M370" s="1">
        <f t="shared" si="322"/>
        <v>24417.361427027565</v>
      </c>
      <c r="N370" s="1">
        <f t="shared" si="322"/>
        <v>31464.120781890182</v>
      </c>
      <c r="O370" s="1">
        <f t="shared" si="322"/>
        <v>38056.222732504662</v>
      </c>
      <c r="P370" s="1">
        <f t="shared" si="322"/>
        <v>44807.167400282866</v>
      </c>
      <c r="Q370" s="1">
        <f t="shared" si="322"/>
        <v>52505.4047842406</v>
      </c>
      <c r="R370" s="1">
        <f t="shared" si="322"/>
        <v>59534.436121774255</v>
      </c>
      <c r="S370" s="1">
        <f t="shared" si="322"/>
        <v>65994.771003264919</v>
      </c>
      <c r="T370" s="1">
        <f t="shared" si="322"/>
        <v>72417.699006264578</v>
      </c>
      <c r="U370" s="1">
        <f t="shared" si="322"/>
        <v>79357.902074659796</v>
      </c>
      <c r="X370" s="2">
        <v>636.38900000000001</v>
      </c>
      <c r="Y370" s="1">
        <f t="shared" si="323"/>
        <v>881.98500000000001</v>
      </c>
      <c r="Z370" s="2">
        <v>1401.431</v>
      </c>
      <c r="AA370" s="1">
        <f t="shared" si="324"/>
        <v>1977.23</v>
      </c>
      <c r="AB370" s="2">
        <v>2532.0500000000002</v>
      </c>
      <c r="AC370" s="1">
        <f t="shared" si="325"/>
        <v>3246.9809999999998</v>
      </c>
      <c r="AD370" s="2">
        <v>2450.5720000000001</v>
      </c>
    </row>
    <row r="371" spans="2:31">
      <c r="C371" s="1" t="s">
        <v>182</v>
      </c>
      <c r="F371" s="2">
        <v>277.07299999999998</v>
      </c>
      <c r="G371" s="2">
        <v>439.14499999999998</v>
      </c>
      <c r="H371" s="2">
        <v>703.38099999999997</v>
      </c>
      <c r="I371" s="2">
        <v>1322.5450000000001</v>
      </c>
      <c r="J371" s="2">
        <v>2274.0039999999999</v>
      </c>
      <c r="K371" s="1">
        <f>K293*K305</f>
        <v>3374.6335282039081</v>
      </c>
      <c r="L371" s="1">
        <f t="shared" si="322"/>
        <v>5870.3943860933359</v>
      </c>
      <c r="M371" s="1">
        <f t="shared" si="322"/>
        <v>8306.8823738167448</v>
      </c>
      <c r="N371" s="1">
        <f t="shared" si="322"/>
        <v>10593.252855752975</v>
      </c>
      <c r="O371" s="1">
        <f t="shared" si="322"/>
        <v>12744.395993543463</v>
      </c>
      <c r="P371" s="1">
        <f t="shared" si="322"/>
        <v>14943.343038624924</v>
      </c>
      <c r="Q371" s="1">
        <f t="shared" si="322"/>
        <v>17299.698288021318</v>
      </c>
      <c r="R371" s="1">
        <f t="shared" si="322"/>
        <v>19456.436409149268</v>
      </c>
      <c r="S371" s="1">
        <f t="shared" si="322"/>
        <v>21448.234906269878</v>
      </c>
      <c r="T371" s="1">
        <f t="shared" si="322"/>
        <v>23421.310946933325</v>
      </c>
      <c r="U371" s="1">
        <f t="shared" si="322"/>
        <v>25555.638718981761</v>
      </c>
      <c r="X371" s="2">
        <v>272.66399999999999</v>
      </c>
      <c r="Y371" s="1">
        <f t="shared" si="323"/>
        <v>430.71699999999998</v>
      </c>
      <c r="Z371" s="2">
        <v>532.31600000000003</v>
      </c>
      <c r="AA371" s="1">
        <f t="shared" si="324"/>
        <v>790.22900000000004</v>
      </c>
      <c r="AB371" s="2">
        <v>960.04499999999996</v>
      </c>
      <c r="AC371" s="1">
        <f t="shared" si="325"/>
        <v>1313.9589999999998</v>
      </c>
      <c r="AD371" s="2">
        <v>894.85299999999995</v>
      </c>
    </row>
    <row r="373" spans="2:31">
      <c r="B373" s="1" t="s">
        <v>197</v>
      </c>
      <c r="F373" s="2">
        <v>-130.52199999999999</v>
      </c>
      <c r="G373" s="2">
        <v>-27.257999999999999</v>
      </c>
      <c r="H373" s="2">
        <v>-23.861999999999998</v>
      </c>
      <c r="I373" s="2">
        <v>-40.478000000000002</v>
      </c>
      <c r="J373" s="2">
        <v>-88.861000000000004</v>
      </c>
      <c r="K373" s="1">
        <f>K374*K366</f>
        <v>-110.38485404172043</v>
      </c>
      <c r="L373" s="1">
        <f t="shared" ref="L373:U373" si="326">L374*L366</f>
        <v>-183.25591067670243</v>
      </c>
      <c r="M373" s="1">
        <f t="shared" si="326"/>
        <v>-235.85098852468448</v>
      </c>
      <c r="N373" s="1">
        <f t="shared" si="326"/>
        <v>-281.22178456403049</v>
      </c>
      <c r="O373" s="1">
        <f t="shared" si="326"/>
        <v>-320.57792950110007</v>
      </c>
      <c r="P373" s="1">
        <f t="shared" si="326"/>
        <v>-359.55371742829027</v>
      </c>
      <c r="Q373" s="1">
        <f t="shared" si="326"/>
        <v>-401.70110602548874</v>
      </c>
      <c r="R373" s="1">
        <f t="shared" si="326"/>
        <v>-439.26733217402966</v>
      </c>
      <c r="S373" s="1">
        <f t="shared" si="326"/>
        <v>-472.24714728687951</v>
      </c>
      <c r="T373" s="1">
        <f t="shared" si="326"/>
        <v>-505.10209802118464</v>
      </c>
      <c r="U373" s="1">
        <f t="shared" si="326"/>
        <v>-540.50720006424297</v>
      </c>
      <c r="X373" s="2">
        <v>-29.045999999999999</v>
      </c>
      <c r="Y373" s="1">
        <f t="shared" ref="Y373" si="327">H373-X373</f>
        <v>5.1840000000000011</v>
      </c>
      <c r="Z373" s="2">
        <v>-49.631</v>
      </c>
      <c r="AA373" s="1">
        <f t="shared" ref="AA373" si="328">I373-Z373</f>
        <v>9.1529999999999987</v>
      </c>
      <c r="AB373" s="2">
        <v>-49.902000000000001</v>
      </c>
      <c r="AC373" s="1">
        <f t="shared" ref="AC373" si="329">J373-AB373</f>
        <v>-38.959000000000003</v>
      </c>
      <c r="AD373" s="2">
        <v>-15.462999999999999</v>
      </c>
    </row>
    <row r="374" spans="2:31" s="8" customFormat="1">
      <c r="C374" s="8" t="s">
        <v>198</v>
      </c>
      <c r="F374" s="8">
        <f t="shared" ref="F374:I374" si="330">F373/F366</f>
        <v>-2.2567562030018959E-2</v>
      </c>
      <c r="G374" s="8">
        <f t="shared" si="330"/>
        <v>-3.557160295628756E-3</v>
      </c>
      <c r="H374" s="8">
        <f t="shared" si="330"/>
        <v>-2.2917877413846906E-3</v>
      </c>
      <c r="I374" s="8">
        <f t="shared" si="330"/>
        <v>-2.4485078698193246E-3</v>
      </c>
      <c r="J374" s="8">
        <f>J373/J366</f>
        <v>-3.4606718503722963E-3</v>
      </c>
      <c r="K374" s="9">
        <f>J374</f>
        <v>-3.4606718503722963E-3</v>
      </c>
      <c r="L374" s="9">
        <f t="shared" ref="L374:U374" si="331">K374</f>
        <v>-3.4606718503722963E-3</v>
      </c>
      <c r="M374" s="9">
        <f t="shared" si="331"/>
        <v>-3.4606718503722963E-3</v>
      </c>
      <c r="N374" s="9">
        <f t="shared" si="331"/>
        <v>-3.4606718503722963E-3</v>
      </c>
      <c r="O374" s="9">
        <f t="shared" si="331"/>
        <v>-3.4606718503722963E-3</v>
      </c>
      <c r="P374" s="9">
        <f t="shared" si="331"/>
        <v>-3.4606718503722963E-3</v>
      </c>
      <c r="Q374" s="9">
        <f t="shared" si="331"/>
        <v>-3.4606718503722963E-3</v>
      </c>
      <c r="R374" s="9">
        <f t="shared" si="331"/>
        <v>-3.4606718503722963E-3</v>
      </c>
      <c r="S374" s="9">
        <f t="shared" si="331"/>
        <v>-3.4606718503722963E-3</v>
      </c>
      <c r="T374" s="9">
        <f t="shared" si="331"/>
        <v>-3.4606718503722963E-3</v>
      </c>
      <c r="U374" s="9">
        <f t="shared" si="331"/>
        <v>-3.4606718503722963E-3</v>
      </c>
      <c r="X374" s="8">
        <f>X373/X366</f>
        <v>-6.2120781140057278E-3</v>
      </c>
      <c r="Y374" s="8">
        <f t="shared" ref="Y374:AD374" si="332">Y373/Y366</f>
        <v>9.037296105158984E-4</v>
      </c>
      <c r="Z374" s="8">
        <f t="shared" si="332"/>
        <v>-6.7972140064434588E-3</v>
      </c>
      <c r="AA374" s="8">
        <f t="shared" si="332"/>
        <v>9.9165409267767501E-4</v>
      </c>
      <c r="AB374" s="8">
        <f t="shared" si="332"/>
        <v>-4.384555245554248E-3</v>
      </c>
      <c r="AC374" s="8">
        <f t="shared" si="332"/>
        <v>-2.7251545354772329E-3</v>
      </c>
      <c r="AD374" s="8">
        <f t="shared" si="332"/>
        <v>-1.6869740684058551E-3</v>
      </c>
    </row>
    <row r="376" spans="2:31" s="6" customFormat="1">
      <c r="B376" s="6" t="s">
        <v>199</v>
      </c>
      <c r="F376" s="6">
        <f t="shared" ref="F376:I376" si="333">F366+F373</f>
        <v>5653.0890000000009</v>
      </c>
      <c r="G376" s="6">
        <f t="shared" si="333"/>
        <v>7635.5960000000014</v>
      </c>
      <c r="H376" s="6">
        <f t="shared" si="333"/>
        <v>10388.097</v>
      </c>
      <c r="I376" s="6">
        <f t="shared" si="333"/>
        <v>16491.223000000002</v>
      </c>
      <c r="J376" s="6">
        <f>J366+J373</f>
        <v>25588.523000000001</v>
      </c>
      <c r="K376" s="6">
        <f>K366+K373</f>
        <v>31786.558518339953</v>
      </c>
      <c r="L376" s="6">
        <f t="shared" ref="L376:U376" si="334">L366+L373</f>
        <v>52770.597733952418</v>
      </c>
      <c r="M376" s="6">
        <f t="shared" si="334"/>
        <v>67915.941126440448</v>
      </c>
      <c r="N376" s="6">
        <f t="shared" si="334"/>
        <v>80980.971431986356</v>
      </c>
      <c r="O376" s="6">
        <f t="shared" si="334"/>
        <v>92314.015398558171</v>
      </c>
      <c r="P376" s="6">
        <f t="shared" si="334"/>
        <v>103537.5312921226</v>
      </c>
      <c r="Q376" s="6">
        <f t="shared" si="334"/>
        <v>115674.3452207229</v>
      </c>
      <c r="R376" s="6">
        <f t="shared" si="334"/>
        <v>126491.96196851035</v>
      </c>
      <c r="S376" s="6">
        <f t="shared" si="334"/>
        <v>135988.87014589869</v>
      </c>
      <c r="T376" s="6">
        <f t="shared" si="334"/>
        <v>145449.82222306004</v>
      </c>
      <c r="U376" s="6">
        <f t="shared" si="334"/>
        <v>155645.11901182163</v>
      </c>
      <c r="X376" s="6">
        <f t="shared" ref="X376:AA376" si="335">X366+X373</f>
        <v>4646.6839999999993</v>
      </c>
      <c r="Y376" s="6">
        <f t="shared" si="335"/>
        <v>5741.4129999999996</v>
      </c>
      <c r="Z376" s="6">
        <f t="shared" si="335"/>
        <v>7252.0370000000003</v>
      </c>
      <c r="AA376" s="6">
        <f t="shared" si="335"/>
        <v>9239.1859999999997</v>
      </c>
      <c r="AB376" s="6">
        <f>AB366+AB373</f>
        <v>11331.412</v>
      </c>
      <c r="AC376" s="6">
        <f t="shared" ref="AC376:AE376" si="336">AC366+AC373</f>
        <v>14257.110999999999</v>
      </c>
      <c r="AD376" s="6">
        <f t="shared" si="336"/>
        <v>9150.6529999999984</v>
      </c>
      <c r="AE376" s="6">
        <f t="shared" si="336"/>
        <v>0</v>
      </c>
    </row>
    <row r="377" spans="2:31" s="8" customFormat="1">
      <c r="C377" s="8" t="s">
        <v>30</v>
      </c>
      <c r="G377" s="8">
        <f t="shared" ref="G377:I377" si="337">G376/F376-1</f>
        <v>0.35069446102829804</v>
      </c>
      <c r="H377" s="8">
        <f t="shared" si="337"/>
        <v>0.36048279662779414</v>
      </c>
      <c r="I377" s="8">
        <f t="shared" si="337"/>
        <v>0.58751145662193971</v>
      </c>
      <c r="J377" s="8">
        <f>J376/I376-1</f>
        <v>0.55164495683552395</v>
      </c>
      <c r="K377" s="8">
        <f t="shared" ref="K377:R377" si="338">K376/J376-1</f>
        <v>0.24221935429176389</v>
      </c>
      <c r="L377" s="8">
        <f t="shared" si="338"/>
        <v>0.66015448647909669</v>
      </c>
      <c r="M377" s="8">
        <f t="shared" si="338"/>
        <v>0.28700344591214599</v>
      </c>
      <c r="N377" s="8">
        <f t="shared" si="338"/>
        <v>0.19237059943294432</v>
      </c>
      <c r="O377" s="8">
        <f t="shared" si="338"/>
        <v>0.13994699947616862</v>
      </c>
      <c r="P377" s="8">
        <f t="shared" si="338"/>
        <v>0.12157976061498155</v>
      </c>
      <c r="Q377" s="8">
        <f t="shared" si="338"/>
        <v>0.11722139573095758</v>
      </c>
      <c r="R377" s="8">
        <f t="shared" si="338"/>
        <v>9.3517855900942637E-2</v>
      </c>
      <c r="S377" s="8">
        <f>S376/R376-1</f>
        <v>7.5079143604022569E-2</v>
      </c>
      <c r="T377" s="8">
        <f t="shared" ref="T377:U377" si="339">T376/S376-1</f>
        <v>6.9571517632369018E-2</v>
      </c>
      <c r="U377" s="8">
        <f t="shared" si="339"/>
        <v>7.0094941560851165E-2</v>
      </c>
      <c r="Z377" s="8">
        <f>Z376/X376-1</f>
        <v>0.5606908066053129</v>
      </c>
      <c r="AA377" s="8">
        <f t="shared" ref="AA377:AD377" si="340">AA376/Y376-1</f>
        <v>0.60921814891212334</v>
      </c>
      <c r="AB377" s="8">
        <f t="shared" si="340"/>
        <v>0.56251436665312093</v>
      </c>
      <c r="AC377" s="8">
        <f t="shared" si="340"/>
        <v>0.54311332188788053</v>
      </c>
      <c r="AD377" s="8">
        <f t="shared" si="340"/>
        <v>-0.19245253813028784</v>
      </c>
    </row>
    <row r="378" spans="2:31" s="24" customFormat="1">
      <c r="C378" s="24" t="s">
        <v>141</v>
      </c>
      <c r="F378" s="24">
        <f>F376-F8</f>
        <v>0</v>
      </c>
      <c r="G378" s="24">
        <f>G376-G8</f>
        <v>0</v>
      </c>
      <c r="H378" s="24">
        <f>H376-H8</f>
        <v>0</v>
      </c>
      <c r="I378" s="24">
        <f>I376-I8</f>
        <v>0</v>
      </c>
      <c r="J378" s="24">
        <f>J376-J8</f>
        <v>0</v>
      </c>
      <c r="X378" s="24">
        <f t="shared" ref="X378:AE378" si="341">X376-X8</f>
        <v>0</v>
      </c>
      <c r="Y378" s="24">
        <f t="shared" si="341"/>
        <v>0</v>
      </c>
      <c r="Z378" s="45">
        <f t="shared" si="341"/>
        <v>100</v>
      </c>
      <c r="AA378" s="45">
        <f t="shared" si="341"/>
        <v>-100.00000000000182</v>
      </c>
      <c r="AB378" s="24">
        <f t="shared" si="341"/>
        <v>0</v>
      </c>
      <c r="AC378" s="24">
        <f t="shared" si="341"/>
        <v>0</v>
      </c>
      <c r="AD378" s="24">
        <f t="shared" si="341"/>
        <v>0</v>
      </c>
      <c r="AE378" s="24">
        <f t="shared" si="341"/>
        <v>0</v>
      </c>
    </row>
    <row r="381" spans="2:31" s="6" customFormat="1">
      <c r="B381" s="6" t="s">
        <v>200</v>
      </c>
      <c r="F381" s="6">
        <f>F382+F383+F384+F385</f>
        <v>1190.105</v>
      </c>
      <c r="G381" s="6">
        <f t="shared" ref="G381:H381" si="342">G382+G383+G384+G385</f>
        <v>1982.2250000000001</v>
      </c>
      <c r="H381" s="6">
        <f t="shared" si="342"/>
        <v>2338.2739999999999</v>
      </c>
      <c r="I381" s="6">
        <f>I366*I387-I373</f>
        <v>3545.1986120000001</v>
      </c>
      <c r="J381" s="6">
        <f>J366*J387-J373</f>
        <v>5532.4664080000002</v>
      </c>
      <c r="X381" s="6">
        <f>X382+X383+X384+X385</f>
        <v>1081.463</v>
      </c>
      <c r="Y381" s="6">
        <f t="shared" ref="Y381:Z381" si="343">Y382+Y383+Y384+Y385</f>
        <v>1256.8109999999999</v>
      </c>
      <c r="Z381" s="6">
        <f t="shared" si="343"/>
        <v>1472.81</v>
      </c>
    </row>
    <row r="382" spans="2:31">
      <c r="C382" s="1" t="s">
        <v>177</v>
      </c>
      <c r="F382" s="2">
        <v>524.94299999999998</v>
      </c>
      <c r="G382" s="2">
        <v>758.22299999999996</v>
      </c>
      <c r="H382" s="2">
        <v>653.58500000000004</v>
      </c>
      <c r="I382" s="2"/>
      <c r="J382" s="2"/>
      <c r="X382" s="2">
        <v>342.80399999999997</v>
      </c>
      <c r="Y382" s="1">
        <f t="shared" ref="Y382:Y385" si="344">H382-X382</f>
        <v>310.78100000000006</v>
      </c>
      <c r="Z382" s="2">
        <v>367.30500000000001</v>
      </c>
    </row>
    <row r="383" spans="2:31">
      <c r="C383" s="1" t="s">
        <v>178</v>
      </c>
      <c r="F383" s="2">
        <v>568.99900000000002</v>
      </c>
      <c r="G383" s="2">
        <v>969.43100000000004</v>
      </c>
      <c r="H383" s="2">
        <v>1248.1289999999999</v>
      </c>
      <c r="I383" s="2"/>
      <c r="J383" s="2"/>
      <c r="X383" s="2">
        <v>562.05399999999997</v>
      </c>
      <c r="Y383" s="1">
        <f t="shared" si="344"/>
        <v>686.07499999999993</v>
      </c>
      <c r="Z383" s="2">
        <v>774.75300000000004</v>
      </c>
    </row>
    <row r="384" spans="2:31">
      <c r="C384" s="1" t="s">
        <v>181</v>
      </c>
      <c r="F384" s="2">
        <v>44.22</v>
      </c>
      <c r="G384" s="2">
        <v>154.517</v>
      </c>
      <c r="H384" s="2">
        <v>308.52699999999999</v>
      </c>
      <c r="I384" s="2"/>
      <c r="J384" s="2"/>
      <c r="X384" s="2">
        <v>130.256</v>
      </c>
      <c r="Y384" s="1">
        <f t="shared" si="344"/>
        <v>178.27099999999999</v>
      </c>
      <c r="Z384" s="2">
        <v>276.32</v>
      </c>
    </row>
    <row r="385" spans="2:30">
      <c r="C385" s="1" t="s">
        <v>182</v>
      </c>
      <c r="F385" s="2">
        <v>51.942999999999998</v>
      </c>
      <c r="G385" s="2">
        <v>100.054</v>
      </c>
      <c r="H385" s="2">
        <v>128.03299999999999</v>
      </c>
      <c r="I385" s="2"/>
      <c r="J385" s="2"/>
      <c r="X385" s="2">
        <v>46.348999999999997</v>
      </c>
      <c r="Y385" s="1">
        <f t="shared" si="344"/>
        <v>81.683999999999997</v>
      </c>
      <c r="Z385" s="2">
        <v>54.432000000000002</v>
      </c>
    </row>
    <row r="387" spans="2:30" s="46" customFormat="1" ht="19">
      <c r="C387" s="47" t="s">
        <v>201</v>
      </c>
      <c r="F387" s="48">
        <f>(F381+F373)/F366</f>
        <v>0.18320440292405557</v>
      </c>
      <c r="G387" s="48">
        <f t="shared" ref="G387:H387" si="345">(G381+G373)/G366</f>
        <v>0.25512256921507309</v>
      </c>
      <c r="H387" s="48">
        <f t="shared" si="345"/>
        <v>0.22228401014640953</v>
      </c>
      <c r="I387" s="49">
        <v>0.21199999999999999</v>
      </c>
      <c r="J387" s="49">
        <v>0.21199999999999999</v>
      </c>
      <c r="X387" s="48">
        <f>X381/X366</f>
        <v>0.23129286763778065</v>
      </c>
      <c r="Y387" s="48">
        <f>Y381/Y366</f>
        <v>0.21910056240781184</v>
      </c>
      <c r="Z387" s="48">
        <f>Z381/Z366</f>
        <v>0.20170870546291611</v>
      </c>
    </row>
    <row r="388" spans="2:30" s="10" customFormat="1">
      <c r="C388" s="10" t="s">
        <v>177</v>
      </c>
      <c r="F388" s="12">
        <f t="shared" ref="F388:H391" si="346">F382/F368</f>
        <v>0.22658135348068906</v>
      </c>
      <c r="G388" s="12">
        <f t="shared" si="346"/>
        <v>0.27940015174557148</v>
      </c>
      <c r="H388" s="12">
        <f t="shared" si="346"/>
        <v>0.22086371996973531</v>
      </c>
      <c r="I388" s="12"/>
      <c r="J388" s="12"/>
      <c r="X388" s="12">
        <f t="shared" ref="X388:Z391" si="347">X382/X368</f>
        <v>0.2402134146555101</v>
      </c>
      <c r="Y388" s="12">
        <f t="shared" si="347"/>
        <v>0.2028408593981498</v>
      </c>
      <c r="Z388" s="12">
        <f t="shared" si="347"/>
        <v>0.20403203587093219</v>
      </c>
    </row>
    <row r="389" spans="2:30" s="10" customFormat="1">
      <c r="C389" s="10" t="s">
        <v>178</v>
      </c>
      <c r="F389" s="12">
        <f t="shared" si="346"/>
        <v>0.19759908013820152</v>
      </c>
      <c r="G389" s="12">
        <f t="shared" si="346"/>
        <v>0.25671043014966793</v>
      </c>
      <c r="H389" s="12">
        <f t="shared" si="346"/>
        <v>0.23860323713659062</v>
      </c>
      <c r="I389" s="12"/>
      <c r="J389" s="12"/>
      <c r="X389" s="12">
        <f t="shared" si="347"/>
        <v>0.24023549364933089</v>
      </c>
      <c r="Y389" s="12">
        <f t="shared" si="347"/>
        <v>0.23728247881205719</v>
      </c>
      <c r="Z389" s="12">
        <f t="shared" si="347"/>
        <v>0.21715822203112436</v>
      </c>
    </row>
    <row r="390" spans="2:30" s="10" customFormat="1">
      <c r="C390" s="10" t="s">
        <v>181</v>
      </c>
      <c r="F390" s="12">
        <f t="shared" si="346"/>
        <v>0.14256330236186962</v>
      </c>
      <c r="G390" s="12">
        <f t="shared" si="346"/>
        <v>0.21062955632255356</v>
      </c>
      <c r="H390" s="12">
        <f t="shared" si="346"/>
        <v>0.20319565535237036</v>
      </c>
      <c r="I390" s="12"/>
      <c r="J390" s="12"/>
      <c r="X390" s="12">
        <f t="shared" si="347"/>
        <v>0.20467984204629558</v>
      </c>
      <c r="Y390" s="12">
        <f t="shared" si="347"/>
        <v>0.20212475268853777</v>
      </c>
      <c r="Z390" s="12">
        <f t="shared" si="347"/>
        <v>0.19716989277388611</v>
      </c>
    </row>
    <row r="391" spans="2:30" s="10" customFormat="1">
      <c r="C391" s="10" t="s">
        <v>182</v>
      </c>
      <c r="F391" s="12">
        <f t="shared" si="346"/>
        <v>0.18747045002580548</v>
      </c>
      <c r="G391" s="12">
        <f t="shared" si="346"/>
        <v>0.22783818556513227</v>
      </c>
      <c r="H391" s="12">
        <f t="shared" si="346"/>
        <v>0.18202510445974512</v>
      </c>
      <c r="I391" s="12"/>
      <c r="J391" s="12"/>
      <c r="X391" s="12">
        <f t="shared" si="347"/>
        <v>0.16998577003198076</v>
      </c>
      <c r="Y391" s="12">
        <f t="shared" si="347"/>
        <v>0.18964656607470798</v>
      </c>
      <c r="Z391" s="12">
        <f t="shared" si="347"/>
        <v>0.10225505151075677</v>
      </c>
    </row>
    <row r="395" spans="2:30" s="19" customFormat="1">
      <c r="B395" s="30" t="s">
        <v>202</v>
      </c>
      <c r="C395" s="30"/>
      <c r="D395" s="50" t="s">
        <v>203</v>
      </c>
      <c r="E395" s="30"/>
    </row>
    <row r="396" spans="2:30" s="6" customFormat="1">
      <c r="B396" s="6" t="s">
        <v>204</v>
      </c>
      <c r="G396" s="6">
        <f t="shared" ref="G396:I396" si="348">G397+G398+G399+G400</f>
        <v>102</v>
      </c>
      <c r="H396" s="6">
        <f t="shared" si="348"/>
        <v>125</v>
      </c>
      <c r="I396" s="6">
        <f t="shared" si="348"/>
        <v>145</v>
      </c>
      <c r="J396" s="6">
        <f>J397+J398+J399+J400</f>
        <v>233</v>
      </c>
      <c r="Z396" s="6">
        <f>Z397+Z398+Z399+Z400</f>
        <v>156</v>
      </c>
      <c r="AB396" s="6">
        <f>AB397+AB398+AB399+AB400</f>
        <v>245</v>
      </c>
      <c r="AD396" s="6">
        <f>AD397+AD398+AD399+AD400</f>
        <v>370</v>
      </c>
    </row>
    <row r="397" spans="2:30">
      <c r="C397" s="1" t="s">
        <v>177</v>
      </c>
      <c r="F397" s="2"/>
      <c r="G397" s="2">
        <v>42</v>
      </c>
      <c r="H397" s="2">
        <v>39</v>
      </c>
      <c r="I397" s="2">
        <v>39</v>
      </c>
      <c r="J397" s="2">
        <v>49</v>
      </c>
      <c r="Z397" s="2">
        <v>45</v>
      </c>
      <c r="AB397" s="2">
        <v>53</v>
      </c>
      <c r="AC397" s="2"/>
      <c r="AD397" s="2">
        <v>65</v>
      </c>
    </row>
    <row r="398" spans="2:30">
      <c r="C398" s="1" t="s">
        <v>178</v>
      </c>
      <c r="F398" s="2"/>
      <c r="G398" s="2">
        <v>49</v>
      </c>
      <c r="H398" s="2">
        <v>62</v>
      </c>
      <c r="I398" s="2">
        <v>71</v>
      </c>
      <c r="J398" s="2">
        <v>110</v>
      </c>
      <c r="Z398" s="2">
        <v>76</v>
      </c>
      <c r="AB398" s="2">
        <v>117</v>
      </c>
      <c r="AC398" s="2"/>
      <c r="AD398" s="2">
        <v>160</v>
      </c>
    </row>
    <row r="399" spans="2:30">
      <c r="C399" s="1" t="s">
        <v>181</v>
      </c>
      <c r="F399" s="2"/>
      <c r="G399" s="2">
        <v>7</v>
      </c>
      <c r="H399" s="2">
        <v>17</v>
      </c>
      <c r="I399" s="2">
        <v>26</v>
      </c>
      <c r="J399" s="2">
        <v>57</v>
      </c>
      <c r="Z399" s="2">
        <v>27</v>
      </c>
      <c r="AB399" s="2">
        <v>58</v>
      </c>
      <c r="AC399" s="2"/>
      <c r="AD399" s="2">
        <v>110</v>
      </c>
    </row>
    <row r="400" spans="2:30">
      <c r="C400" s="1" t="s">
        <v>182</v>
      </c>
      <c r="F400" s="2"/>
      <c r="G400" s="2">
        <v>4</v>
      </c>
      <c r="H400" s="2">
        <v>7</v>
      </c>
      <c r="I400" s="2">
        <v>9</v>
      </c>
      <c r="J400" s="2">
        <v>17</v>
      </c>
      <c r="Z400" s="2">
        <v>8</v>
      </c>
      <c r="AB400" s="2">
        <v>17</v>
      </c>
      <c r="AC400" s="2"/>
      <c r="AD400" s="2">
        <v>35</v>
      </c>
    </row>
    <row r="402" spans="2:30" ht="19">
      <c r="C402" s="37" t="s">
        <v>205</v>
      </c>
      <c r="G402" s="38">
        <f t="shared" ref="G402:J406" si="349">G396/G254</f>
        <v>0.57954545454545459</v>
      </c>
      <c r="H402" s="38">
        <f t="shared" si="349"/>
        <v>0.45787545787545786</v>
      </c>
      <c r="I402" s="38">
        <f t="shared" si="349"/>
        <v>0.31115879828326182</v>
      </c>
      <c r="J402" s="38">
        <f t="shared" si="349"/>
        <v>0.30338541666666669</v>
      </c>
      <c r="Z402" s="38"/>
      <c r="AB402" s="38"/>
      <c r="AD402" s="38"/>
    </row>
    <row r="403" spans="2:30">
      <c r="C403" s="1" t="s">
        <v>177</v>
      </c>
      <c r="G403" s="38">
        <f t="shared" si="349"/>
        <v>0.76363636363636367</v>
      </c>
      <c r="H403" s="38">
        <f t="shared" si="349"/>
        <v>0.6</v>
      </c>
      <c r="I403" s="38">
        <f t="shared" si="349"/>
        <v>0.36792452830188677</v>
      </c>
      <c r="J403" s="38">
        <f t="shared" si="349"/>
        <v>0.25789473684210529</v>
      </c>
      <c r="Z403" s="38"/>
      <c r="AB403" s="38"/>
      <c r="AD403" s="38"/>
    </row>
    <row r="404" spans="2:30">
      <c r="C404" s="1" t="s">
        <v>178</v>
      </c>
      <c r="G404" s="38">
        <f t="shared" si="349"/>
        <v>0.59036144578313254</v>
      </c>
      <c r="H404" s="38">
        <f t="shared" si="349"/>
        <v>0.51666666666666672</v>
      </c>
      <c r="I404" s="38">
        <f t="shared" si="349"/>
        <v>0.34299516908212563</v>
      </c>
      <c r="J404" s="38">
        <f t="shared" si="349"/>
        <v>0.33132530120481929</v>
      </c>
      <c r="Z404" s="38"/>
      <c r="AB404" s="38"/>
      <c r="AD404" s="38"/>
    </row>
    <row r="405" spans="2:30">
      <c r="C405" s="1" t="s">
        <v>181</v>
      </c>
      <c r="G405" s="38">
        <f t="shared" si="349"/>
        <v>0.2413793103448276</v>
      </c>
      <c r="H405" s="38">
        <f t="shared" si="349"/>
        <v>0.24637681159420291</v>
      </c>
      <c r="I405" s="38">
        <f t="shared" si="349"/>
        <v>0.22222222222222221</v>
      </c>
      <c r="J405" s="38">
        <f t="shared" si="349"/>
        <v>0.29381443298969073</v>
      </c>
      <c r="Z405" s="38"/>
      <c r="AB405" s="38"/>
      <c r="AD405" s="38"/>
    </row>
    <row r="406" spans="2:30">
      <c r="C406" s="1" t="s">
        <v>182</v>
      </c>
      <c r="G406" s="38">
        <f t="shared" si="349"/>
        <v>0.44444444444444442</v>
      </c>
      <c r="H406" s="38">
        <f t="shared" si="349"/>
        <v>0.36842105263157893</v>
      </c>
      <c r="I406" s="38">
        <f t="shared" si="349"/>
        <v>0.25</v>
      </c>
      <c r="J406" s="38">
        <f t="shared" si="349"/>
        <v>0.32692307692307693</v>
      </c>
      <c r="Z406" s="38"/>
      <c r="AB406" s="38"/>
      <c r="AD406" s="38"/>
    </row>
    <row r="408" spans="2:30" s="6" customFormat="1" ht="19">
      <c r="B408" s="51" t="s">
        <v>206</v>
      </c>
    </row>
    <row r="409" spans="2:30">
      <c r="B409" s="1" t="s">
        <v>207</v>
      </c>
      <c r="G409" s="1">
        <f t="shared" ref="G409:I409" si="350">G410+G411+G412+G413</f>
        <v>5470.54</v>
      </c>
      <c r="H409" s="1">
        <f t="shared" si="350"/>
        <v>6846.6819999999998</v>
      </c>
      <c r="I409" s="1">
        <f t="shared" si="350"/>
        <v>8106.5259999999998</v>
      </c>
      <c r="J409" s="1">
        <f>J410+J411+J412+J413</f>
        <v>12065.689999999999</v>
      </c>
      <c r="Z409" s="1">
        <f>Z410+Z411+Z412+Z413</f>
        <v>4194.4769999999999</v>
      </c>
      <c r="AB409" s="1">
        <f>AB410+AB411+AB412+AB413</f>
        <v>6328.0459999999994</v>
      </c>
    </row>
    <row r="410" spans="2:30">
      <c r="C410" s="1" t="s">
        <v>177</v>
      </c>
      <c r="F410" s="2"/>
      <c r="G410" s="2">
        <v>2269.9699999999998</v>
      </c>
      <c r="H410" s="2">
        <v>2177.0100000000002</v>
      </c>
      <c r="I410" s="2">
        <v>2353.5810000000001</v>
      </c>
      <c r="J410" s="2">
        <v>2783.5450000000001</v>
      </c>
      <c r="Z410" s="2">
        <v>1303.6089999999999</v>
      </c>
      <c r="AB410" s="2">
        <v>1532.672</v>
      </c>
    </row>
    <row r="411" spans="2:30">
      <c r="C411" s="1" t="s">
        <v>178</v>
      </c>
      <c r="F411" s="2"/>
      <c r="G411" s="2">
        <v>2679.1109999999999</v>
      </c>
      <c r="H411" s="2">
        <v>3525.6729999999998</v>
      </c>
      <c r="I411" s="2">
        <v>4124.4459999999999</v>
      </c>
      <c r="J411" s="2">
        <v>5778.9170000000004</v>
      </c>
      <c r="Z411" s="2">
        <v>2128.6109999999999</v>
      </c>
      <c r="AB411" s="2">
        <v>3085.558</v>
      </c>
    </row>
    <row r="412" spans="2:30">
      <c r="C412" s="1" t="s">
        <v>181</v>
      </c>
      <c r="F412" s="2"/>
      <c r="G412" s="2">
        <v>262.37599999999998</v>
      </c>
      <c r="H412" s="2">
        <v>680.14800000000002</v>
      </c>
      <c r="I412" s="2">
        <v>1113.1279999999999</v>
      </c>
      <c r="J412" s="2">
        <v>2463.8890000000001</v>
      </c>
      <c r="Z412" s="2">
        <v>539.91999999999996</v>
      </c>
      <c r="AB412" s="2">
        <v>1233.4369999999999</v>
      </c>
    </row>
    <row r="413" spans="2:30">
      <c r="C413" s="1" t="s">
        <v>182</v>
      </c>
      <c r="F413" s="2"/>
      <c r="G413" s="2">
        <v>259.08300000000003</v>
      </c>
      <c r="H413" s="2">
        <v>463.851</v>
      </c>
      <c r="I413" s="2">
        <v>515.37099999999998</v>
      </c>
      <c r="J413" s="2">
        <v>1039.3389999999999</v>
      </c>
      <c r="Z413" s="2">
        <v>222.33699999999999</v>
      </c>
      <c r="AB413" s="2">
        <v>476.37900000000002</v>
      </c>
    </row>
    <row r="415" spans="2:30">
      <c r="B415" s="1" t="s">
        <v>208</v>
      </c>
      <c r="G415" s="1">
        <f t="shared" ref="G415:I415" si="351">G409/G421*1000</f>
        <v>147.26707330130336</v>
      </c>
      <c r="H415" s="1">
        <f t="shared" si="351"/>
        <v>150.77410001267768</v>
      </c>
      <c r="I415" s="1">
        <f t="shared" si="351"/>
        <v>154.03611762784024</v>
      </c>
      <c r="J415" s="1">
        <f>J409/J421*1000</f>
        <v>142.6237424871376</v>
      </c>
    </row>
    <row r="416" spans="2:30">
      <c r="C416" s="1" t="s">
        <v>177</v>
      </c>
      <c r="F416" s="2"/>
      <c r="G416" s="2">
        <v>148.19999999999999</v>
      </c>
      <c r="H416" s="2">
        <v>154.4</v>
      </c>
      <c r="I416" s="2">
        <v>165.8</v>
      </c>
      <c r="J416" s="2">
        <v>156.1</v>
      </c>
      <c r="Z416" s="2">
        <v>160.9</v>
      </c>
      <c r="AB416" s="2">
        <v>161.5</v>
      </c>
      <c r="AD416" s="2">
        <v>97.3</v>
      </c>
    </row>
    <row r="417" spans="2:30">
      <c r="C417" s="1" t="s">
        <v>178</v>
      </c>
      <c r="F417" s="2"/>
      <c r="G417" s="2">
        <v>150.4</v>
      </c>
      <c r="H417" s="2">
        <v>156.19999999999999</v>
      </c>
      <c r="I417" s="2">
        <v>160</v>
      </c>
      <c r="J417" s="2">
        <v>144.9</v>
      </c>
      <c r="Z417" s="2">
        <v>155.4</v>
      </c>
      <c r="AB417" s="2">
        <v>146.69999999999999</v>
      </c>
      <c r="AD417" s="2">
        <v>100.1</v>
      </c>
    </row>
    <row r="418" spans="2:30">
      <c r="C418" s="1" t="s">
        <v>181</v>
      </c>
      <c r="F418" s="2"/>
      <c r="G418" s="2">
        <v>102.6</v>
      </c>
      <c r="H418" s="2">
        <v>109.8</v>
      </c>
      <c r="I418" s="2">
        <v>117.8</v>
      </c>
      <c r="J418" s="2">
        <v>119</v>
      </c>
      <c r="Z418" s="2">
        <v>111.3</v>
      </c>
      <c r="AB418" s="2">
        <v>117.9</v>
      </c>
      <c r="AD418" s="2">
        <v>96.1</v>
      </c>
    </row>
    <row r="419" spans="2:30">
      <c r="C419" s="1" t="s">
        <v>182</v>
      </c>
      <c r="F419" s="2"/>
      <c r="G419" s="2">
        <v>177.5</v>
      </c>
      <c r="H419" s="2">
        <v>182.3</v>
      </c>
      <c r="I419" s="2">
        <v>160.80000000000001</v>
      </c>
      <c r="J419" s="2">
        <v>168.2</v>
      </c>
      <c r="Z419" s="2">
        <v>155.4</v>
      </c>
      <c r="AB419" s="2">
        <v>156</v>
      </c>
      <c r="AD419" s="2">
        <v>96.8</v>
      </c>
    </row>
    <row r="421" spans="2:30">
      <c r="B421" s="1" t="s">
        <v>209</v>
      </c>
      <c r="G421" s="1">
        <f t="shared" ref="G421:I421" si="352">G422+G423+G424+G425</f>
        <v>37147.068094491588</v>
      </c>
      <c r="H421" s="1">
        <f t="shared" si="352"/>
        <v>45410.19975860777</v>
      </c>
      <c r="I421" s="1">
        <f t="shared" si="352"/>
        <v>52627.436505416299</v>
      </c>
      <c r="J421" s="1">
        <f>J422+J423+J424+J425</f>
        <v>84598.046507495994</v>
      </c>
    </row>
    <row r="422" spans="2:30">
      <c r="C422" s="1" t="s">
        <v>177</v>
      </c>
      <c r="G422" s="1">
        <f t="shared" ref="G422:J425" si="353">G410*1000/G416</f>
        <v>15316.936572199731</v>
      </c>
      <c r="H422" s="1">
        <f t="shared" si="353"/>
        <v>14099.805699481865</v>
      </c>
      <c r="I422" s="1">
        <f t="shared" si="353"/>
        <v>14195.301568154402</v>
      </c>
      <c r="J422" s="1">
        <f>J410*1000/J416</f>
        <v>17831.806534272902</v>
      </c>
    </row>
    <row r="423" spans="2:30">
      <c r="C423" s="1" t="s">
        <v>178</v>
      </c>
      <c r="G423" s="1">
        <f t="shared" si="353"/>
        <v>17813.238031914894</v>
      </c>
      <c r="H423" s="1">
        <f t="shared" si="353"/>
        <v>22571.530089628683</v>
      </c>
      <c r="I423" s="1">
        <f t="shared" si="353"/>
        <v>25777.787499999999</v>
      </c>
      <c r="J423" s="1">
        <f t="shared" si="353"/>
        <v>39882.104899930986</v>
      </c>
    </row>
    <row r="424" spans="2:30">
      <c r="C424" s="1" t="s">
        <v>181</v>
      </c>
      <c r="G424" s="1">
        <f t="shared" si="353"/>
        <v>2557.2709551656922</v>
      </c>
      <c r="H424" s="1">
        <f t="shared" si="353"/>
        <v>6194.4262295081971</v>
      </c>
      <c r="I424" s="1">
        <f t="shared" si="353"/>
        <v>9449.3039049235995</v>
      </c>
      <c r="J424" s="1">
        <f t="shared" si="353"/>
        <v>20704.949579831933</v>
      </c>
    </row>
    <row r="425" spans="2:30">
      <c r="C425" s="1" t="s">
        <v>182</v>
      </c>
      <c r="G425" s="1">
        <f t="shared" si="353"/>
        <v>1459.6225352112679</v>
      </c>
      <c r="H425" s="1">
        <f t="shared" si="353"/>
        <v>2544.4377399890291</v>
      </c>
      <c r="I425" s="1">
        <f t="shared" si="353"/>
        <v>3205.0435323383081</v>
      </c>
      <c r="J425" s="1">
        <f t="shared" si="353"/>
        <v>6179.185493460167</v>
      </c>
    </row>
    <row r="427" spans="2:30">
      <c r="B427" s="1" t="s">
        <v>210</v>
      </c>
    </row>
    <row r="428" spans="2:30" s="41" customFormat="1">
      <c r="C428" s="41" t="s">
        <v>177</v>
      </c>
      <c r="F428" s="42"/>
      <c r="G428" s="42">
        <v>4.3</v>
      </c>
      <c r="H428" s="42">
        <v>4.8</v>
      </c>
      <c r="I428" s="42"/>
      <c r="J428" s="42">
        <v>5.0999999999999996</v>
      </c>
      <c r="Z428" s="42">
        <v>5.0999999999999996</v>
      </c>
      <c r="AB428" s="42">
        <v>5.0999999999999996</v>
      </c>
      <c r="AD428" s="42">
        <v>3.4</v>
      </c>
    </row>
    <row r="429" spans="2:30" s="41" customFormat="1">
      <c r="C429" s="41" t="s">
        <v>178</v>
      </c>
      <c r="F429" s="42"/>
      <c r="G429" s="42">
        <v>4.8</v>
      </c>
      <c r="H429" s="42">
        <v>5.3</v>
      </c>
      <c r="I429" s="42"/>
      <c r="J429" s="42">
        <v>5.3</v>
      </c>
      <c r="Z429" s="42">
        <v>5.3</v>
      </c>
      <c r="AB429" s="42">
        <v>5.3</v>
      </c>
      <c r="AD429" s="42">
        <v>3.8</v>
      </c>
    </row>
    <row r="430" spans="2:30" s="41" customFormat="1">
      <c r="C430" s="41" t="s">
        <v>181</v>
      </c>
      <c r="F430" s="42"/>
      <c r="G430" s="42">
        <v>3.8</v>
      </c>
      <c r="H430" s="42">
        <v>4.7</v>
      </c>
      <c r="I430" s="42"/>
      <c r="J430" s="42">
        <v>5.2</v>
      </c>
      <c r="Z430" s="42">
        <v>5</v>
      </c>
      <c r="AB430" s="42">
        <v>5.0999999999999996</v>
      </c>
      <c r="AD430" s="42">
        <v>4.0999999999999996</v>
      </c>
    </row>
    <row r="431" spans="2:30" s="41" customFormat="1">
      <c r="C431" s="41" t="s">
        <v>182</v>
      </c>
      <c r="F431" s="42"/>
      <c r="G431" s="42">
        <v>5.2</v>
      </c>
      <c r="H431" s="42">
        <v>5.0999999999999996</v>
      </c>
      <c r="I431" s="42"/>
      <c r="J431" s="42">
        <v>4.4000000000000004</v>
      </c>
      <c r="Z431" s="42">
        <v>4.5</v>
      </c>
      <c r="AB431" s="42">
        <v>4.3</v>
      </c>
      <c r="AD431" s="42">
        <v>2.7</v>
      </c>
    </row>
    <row r="433" spans="2:30" s="6" customFormat="1" ht="19">
      <c r="B433" s="51" t="s">
        <v>211</v>
      </c>
    </row>
    <row r="434" spans="2:30">
      <c r="B434" s="1" t="s">
        <v>207</v>
      </c>
      <c r="G434" s="1">
        <f t="shared" ref="G434:I434" si="354">G435+G436+G437+G438</f>
        <v>4795.6349999999993</v>
      </c>
      <c r="H434" s="1">
        <f t="shared" si="354"/>
        <v>6006.8130000000001</v>
      </c>
      <c r="I434" s="1">
        <f t="shared" si="354"/>
        <v>7630.0280000000002</v>
      </c>
      <c r="J434" s="1">
        <f>J435+J436+J437+J438</f>
        <v>11879.693000000001</v>
      </c>
      <c r="Z434" s="1">
        <f>Z435+Z436+Z437+Z438</f>
        <v>3941.2730000000001</v>
      </c>
      <c r="AB434" s="1">
        <f>AB435+AB436+AB437+AB438</f>
        <v>6042.701</v>
      </c>
    </row>
    <row r="435" spans="2:30">
      <c r="C435" s="1" t="s">
        <v>177</v>
      </c>
      <c r="F435" s="2"/>
      <c r="G435" s="2">
        <v>2046.712</v>
      </c>
      <c r="H435" s="2">
        <v>1931.9590000000001</v>
      </c>
      <c r="I435" s="2">
        <v>2106.973</v>
      </c>
      <c r="J435" s="2">
        <v>2787.9140000000002</v>
      </c>
      <c r="Z435" s="2">
        <v>1161.4570000000001</v>
      </c>
      <c r="AB435" s="2">
        <v>1483.3889999999999</v>
      </c>
    </row>
    <row r="436" spans="2:30">
      <c r="C436" s="1" t="s">
        <v>178</v>
      </c>
      <c r="F436" s="2"/>
      <c r="G436" s="2">
        <v>2298.491</v>
      </c>
      <c r="H436" s="2">
        <v>3078.9749999999999</v>
      </c>
      <c r="I436" s="2">
        <v>3953.683</v>
      </c>
      <c r="J436" s="2">
        <v>5889.1880000000001</v>
      </c>
      <c r="Z436" s="2">
        <v>2043.2940000000001</v>
      </c>
      <c r="AB436" s="2">
        <v>3028.29</v>
      </c>
    </row>
    <row r="437" spans="2:30">
      <c r="C437" s="1" t="s">
        <v>181</v>
      </c>
      <c r="F437" s="2"/>
      <c r="G437" s="2">
        <v>233.768</v>
      </c>
      <c r="H437" s="2">
        <v>584.77800000000002</v>
      </c>
      <c r="I437" s="2">
        <v>1006.057</v>
      </c>
      <c r="J437" s="2">
        <v>2274.1909999999998</v>
      </c>
      <c r="Z437" s="2">
        <v>507.721</v>
      </c>
      <c r="AB437" s="2">
        <v>1096.682</v>
      </c>
    </row>
    <row r="438" spans="2:30">
      <c r="C438" s="1" t="s">
        <v>182</v>
      </c>
      <c r="F438" s="2"/>
      <c r="G438" s="2">
        <v>216.66399999999999</v>
      </c>
      <c r="H438" s="2">
        <v>411.101</v>
      </c>
      <c r="I438" s="2">
        <v>563.31500000000005</v>
      </c>
      <c r="J438" s="2">
        <v>928.4</v>
      </c>
      <c r="Z438" s="2">
        <v>228.80099999999999</v>
      </c>
      <c r="AB438" s="2">
        <v>434.34</v>
      </c>
    </row>
    <row r="440" spans="2:30">
      <c r="B440" s="1" t="s">
        <v>212</v>
      </c>
      <c r="G440" s="1">
        <f t="shared" ref="G440:I440" si="355">G434/G446*1000</f>
        <v>129.50203783506231</v>
      </c>
      <c r="H440" s="1">
        <f t="shared" si="355"/>
        <v>131.85895299604721</v>
      </c>
      <c r="I440" s="1">
        <f t="shared" si="355"/>
        <v>144.8205856094043</v>
      </c>
      <c r="J440" s="1">
        <f>J434/J446*1000</f>
        <v>140.33777234186843</v>
      </c>
    </row>
    <row r="441" spans="2:30">
      <c r="C441" s="1" t="s">
        <v>177</v>
      </c>
      <c r="F441" s="2"/>
      <c r="G441" s="2">
        <v>134.19999999999999</v>
      </c>
      <c r="H441" s="2">
        <v>135.69999999999999</v>
      </c>
      <c r="I441" s="2">
        <v>149.5</v>
      </c>
      <c r="J441" s="2">
        <v>156.69999999999999</v>
      </c>
      <c r="Z441" s="2">
        <v>144</v>
      </c>
      <c r="AB441" s="2">
        <v>155.4</v>
      </c>
      <c r="AD441" s="2">
        <v>133.80000000000001</v>
      </c>
    </row>
    <row r="442" spans="2:30">
      <c r="C442" s="1" t="s">
        <v>178</v>
      </c>
      <c r="F442" s="2"/>
      <c r="G442" s="2">
        <v>129.30000000000001</v>
      </c>
      <c r="H442" s="2">
        <v>136.5</v>
      </c>
      <c r="I442" s="2">
        <v>153</v>
      </c>
      <c r="J442" s="2">
        <v>147.1</v>
      </c>
      <c r="Z442" s="2">
        <v>149.30000000000001</v>
      </c>
      <c r="AB442" s="2">
        <v>143.6</v>
      </c>
      <c r="AD442" s="2">
        <v>126.7</v>
      </c>
    </row>
    <row r="443" spans="2:30">
      <c r="C443" s="1" t="s">
        <v>181</v>
      </c>
      <c r="F443" s="2"/>
      <c r="G443" s="2">
        <v>91.9</v>
      </c>
      <c r="H443" s="2">
        <v>94.2</v>
      </c>
      <c r="I443" s="2">
        <v>106.1</v>
      </c>
      <c r="J443" s="2">
        <v>109.8</v>
      </c>
      <c r="Z443" s="2">
        <v>104.1</v>
      </c>
      <c r="AB443" s="2">
        <v>104.9</v>
      </c>
      <c r="AD443" s="2">
        <v>110.9</v>
      </c>
    </row>
    <row r="444" spans="2:30">
      <c r="C444" s="1" t="s">
        <v>182</v>
      </c>
      <c r="F444" s="2"/>
      <c r="G444" s="2">
        <v>148.4</v>
      </c>
      <c r="H444" s="2">
        <v>161</v>
      </c>
      <c r="I444" s="2">
        <v>172.3</v>
      </c>
      <c r="J444" s="2">
        <v>151.9</v>
      </c>
      <c r="Z444" s="2">
        <v>159.5</v>
      </c>
      <c r="AB444" s="2">
        <v>142.69999999999999</v>
      </c>
      <c r="AD444" s="2">
        <v>139.4</v>
      </c>
    </row>
    <row r="446" spans="2:30">
      <c r="B446" s="1" t="s">
        <v>209</v>
      </c>
      <c r="G446" s="1">
        <f t="shared" ref="G446:I446" si="356">G447+G448+G449+G450</f>
        <v>37031.34777004717</v>
      </c>
      <c r="H446" s="1">
        <f t="shared" si="356"/>
        <v>45554.836160272476</v>
      </c>
      <c r="I446" s="1">
        <f t="shared" si="356"/>
        <v>52686.073377571847</v>
      </c>
      <c r="J446" s="1">
        <f>J447+J448+J449+J450</f>
        <v>84650.716637147372</v>
      </c>
    </row>
    <row r="447" spans="2:30">
      <c r="C447" s="1" t="s">
        <v>177</v>
      </c>
      <c r="G447" s="1">
        <f t="shared" ref="G447:J450" si="357">G435*1000/G441</f>
        <v>15251.207153502237</v>
      </c>
      <c r="H447" s="1">
        <f t="shared" si="357"/>
        <v>14236.985998526161</v>
      </c>
      <c r="I447" s="1">
        <f t="shared" si="357"/>
        <v>14093.464882943144</v>
      </c>
      <c r="J447" s="1">
        <f>J435*1000/J441</f>
        <v>17791.410338225909</v>
      </c>
    </row>
    <row r="448" spans="2:30">
      <c r="C448" s="1" t="s">
        <v>178</v>
      </c>
      <c r="G448" s="1">
        <f t="shared" si="357"/>
        <v>17776.419180201083</v>
      </c>
      <c r="H448" s="1">
        <f t="shared" si="357"/>
        <v>22556.593406593405</v>
      </c>
      <c r="I448" s="1">
        <f t="shared" si="357"/>
        <v>25841.065359477125</v>
      </c>
      <c r="J448" s="1">
        <f t="shared" si="357"/>
        <v>40035.268524813051</v>
      </c>
    </row>
    <row r="449" spans="2:30">
      <c r="C449" s="1" t="s">
        <v>181</v>
      </c>
      <c r="G449" s="1">
        <f t="shared" si="357"/>
        <v>2543.721436343852</v>
      </c>
      <c r="H449" s="1">
        <f t="shared" si="357"/>
        <v>6207.8343949044583</v>
      </c>
      <c r="I449" s="1">
        <f t="shared" si="357"/>
        <v>9482.1583411875599</v>
      </c>
      <c r="J449" s="1">
        <f t="shared" si="357"/>
        <v>20712.12204007286</v>
      </c>
    </row>
    <row r="450" spans="2:30">
      <c r="C450" s="1" t="s">
        <v>182</v>
      </c>
      <c r="G450" s="1">
        <f t="shared" si="357"/>
        <v>1460</v>
      </c>
      <c r="H450" s="1">
        <f t="shared" si="357"/>
        <v>2553.4223602484471</v>
      </c>
      <c r="I450" s="1">
        <f t="shared" si="357"/>
        <v>3269.3847939640159</v>
      </c>
      <c r="J450" s="1">
        <f t="shared" si="357"/>
        <v>6111.9157340355496</v>
      </c>
    </row>
    <row r="452" spans="2:30">
      <c r="B452" s="1" t="s">
        <v>210</v>
      </c>
    </row>
    <row r="453" spans="2:30" s="41" customFormat="1">
      <c r="C453" s="41" t="s">
        <v>177</v>
      </c>
      <c r="F453" s="42"/>
      <c r="G453" s="42">
        <v>3.9</v>
      </c>
      <c r="H453" s="42">
        <v>4.3</v>
      </c>
      <c r="I453" s="42"/>
      <c r="J453" s="42">
        <v>5.2</v>
      </c>
      <c r="Z453" s="42">
        <v>4.7</v>
      </c>
      <c r="AB453" s="42">
        <v>5.0999999999999996</v>
      </c>
      <c r="AD453" s="42">
        <v>4.7</v>
      </c>
    </row>
    <row r="454" spans="2:30" s="41" customFormat="1">
      <c r="C454" s="41" t="s">
        <v>178</v>
      </c>
      <c r="F454" s="42"/>
      <c r="G454" s="42">
        <v>4.0999999999999996</v>
      </c>
      <c r="H454" s="42">
        <v>4.8</v>
      </c>
      <c r="I454" s="42"/>
      <c r="J454" s="42">
        <v>5.4</v>
      </c>
      <c r="Z454" s="42">
        <v>5.3</v>
      </c>
      <c r="AB454" s="42">
        <v>5.2</v>
      </c>
      <c r="AD454" s="42">
        <v>5</v>
      </c>
    </row>
    <row r="455" spans="2:30" s="41" customFormat="1">
      <c r="C455" s="41" t="s">
        <v>181</v>
      </c>
      <c r="F455" s="42"/>
      <c r="G455" s="42">
        <v>3.4</v>
      </c>
      <c r="H455" s="42">
        <v>4.0999999999999996</v>
      </c>
      <c r="I455" s="42"/>
      <c r="J455" s="42">
        <v>4.9000000000000004</v>
      </c>
      <c r="Z455" s="42">
        <v>4.7</v>
      </c>
      <c r="AB455" s="42">
        <v>4.7</v>
      </c>
      <c r="AD455" s="42">
        <v>4.8</v>
      </c>
    </row>
    <row r="456" spans="2:30" s="41" customFormat="1">
      <c r="C456" s="41" t="s">
        <v>182</v>
      </c>
      <c r="F456" s="42"/>
      <c r="G456" s="42">
        <v>4.4000000000000004</v>
      </c>
      <c r="H456" s="42">
        <v>5</v>
      </c>
      <c r="I456" s="42"/>
      <c r="J456" s="42">
        <v>4</v>
      </c>
      <c r="Z456" s="42">
        <v>4.5</v>
      </c>
      <c r="AB456" s="42">
        <v>3.9</v>
      </c>
      <c r="AD456" s="42">
        <v>3.9</v>
      </c>
    </row>
    <row r="458" spans="2:30" s="6" customFormat="1" ht="19">
      <c r="B458" s="51" t="s">
        <v>213</v>
      </c>
    </row>
    <row r="459" spans="2:30" s="20" customFormat="1">
      <c r="B459" s="20" t="s">
        <v>214</v>
      </c>
      <c r="D459" s="52"/>
      <c r="G459" s="53">
        <f t="shared" ref="G459:I463" si="358">G409/G434-1</f>
        <v>0.14073318757578512</v>
      </c>
      <c r="H459" s="53">
        <f t="shared" si="358"/>
        <v>0.1398194017359955</v>
      </c>
      <c r="I459" s="53">
        <f t="shared" si="358"/>
        <v>6.2450360601560062E-2</v>
      </c>
      <c r="J459" s="53">
        <f>J409/J434-1</f>
        <v>1.5656717728311564E-2</v>
      </c>
      <c r="Z459" s="53">
        <f>Z409/Z434-1</f>
        <v>6.4244217540880832E-2</v>
      </c>
      <c r="AB459" s="53">
        <f>AB409/AB434-1</f>
        <v>4.7221432932061269E-2</v>
      </c>
    </row>
    <row r="460" spans="2:30" s="20" customFormat="1">
      <c r="C460" s="20" t="s">
        <v>177</v>
      </c>
      <c r="G460" s="53">
        <f t="shared" si="358"/>
        <v>0.10908129722208093</v>
      </c>
      <c r="H460" s="53">
        <f t="shared" si="358"/>
        <v>0.12684068347206123</v>
      </c>
      <c r="I460" s="53">
        <f t="shared" si="358"/>
        <v>0.11704374000046514</v>
      </c>
      <c r="J460" s="53">
        <f>J410/J435-1</f>
        <v>-1.567121510921865E-3</v>
      </c>
      <c r="Z460" s="53">
        <f>Z410/Z435-1</f>
        <v>0.12239110014404297</v>
      </c>
      <c r="AB460" s="53">
        <f>AB410/AB435-1</f>
        <v>3.3223247577001125E-2</v>
      </c>
      <c r="AD460" s="54">
        <f>AD416/AD441-1</f>
        <v>-0.27279521674140517</v>
      </c>
    </row>
    <row r="461" spans="2:30" s="20" customFormat="1">
      <c r="C461" s="20" t="s">
        <v>178</v>
      </c>
      <c r="G461" s="53">
        <f t="shared" si="358"/>
        <v>0.16559560163602982</v>
      </c>
      <c r="H461" s="53">
        <f t="shared" si="358"/>
        <v>0.14508009970850688</v>
      </c>
      <c r="I461" s="53">
        <f t="shared" si="358"/>
        <v>4.3190867856628845E-2</v>
      </c>
      <c r="J461" s="53">
        <f>J411/J436-1</f>
        <v>-1.8724313097153611E-2</v>
      </c>
      <c r="Z461" s="53">
        <f>Z411/Z436-1</f>
        <v>4.1754637364960656E-2</v>
      </c>
      <c r="AB461" s="53">
        <f>AB411/AB436-1</f>
        <v>1.8911002579013347E-2</v>
      </c>
      <c r="AD461" s="54">
        <f t="shared" ref="AD461:AD463" si="359">AD417/AD442-1</f>
        <v>-0.20994475138121549</v>
      </c>
    </row>
    <row r="462" spans="2:30" s="20" customFormat="1">
      <c r="C462" s="20" t="s">
        <v>181</v>
      </c>
      <c r="G462" s="53">
        <f t="shared" si="358"/>
        <v>0.12237774203483776</v>
      </c>
      <c r="H462" s="53">
        <f t="shared" si="358"/>
        <v>0.16308753065265802</v>
      </c>
      <c r="I462" s="53">
        <f t="shared" si="358"/>
        <v>0.10642637544393607</v>
      </c>
      <c r="J462" s="53">
        <f>J412/J437-1</f>
        <v>8.3413398434872166E-2</v>
      </c>
      <c r="Z462" s="53">
        <f>Z412/Z437-1</f>
        <v>6.3418688610476837E-2</v>
      </c>
      <c r="AB462" s="53">
        <f>AB412/AB437-1</f>
        <v>0.12469886439277733</v>
      </c>
      <c r="AD462" s="54">
        <f t="shared" si="359"/>
        <v>-0.13345356176735812</v>
      </c>
    </row>
    <row r="463" spans="2:30" s="20" customFormat="1">
      <c r="C463" s="20" t="s">
        <v>182</v>
      </c>
      <c r="G463" s="53">
        <f t="shared" si="358"/>
        <v>0.19578240962965721</v>
      </c>
      <c r="H463" s="53">
        <f t="shared" si="358"/>
        <v>0.12831396664080108</v>
      </c>
      <c r="I463" s="53">
        <f t="shared" si="358"/>
        <v>-8.5110462174804669E-2</v>
      </c>
      <c r="J463" s="53">
        <f>J413/J438-1</f>
        <v>0.11949482981473492</v>
      </c>
      <c r="Z463" s="53">
        <f>Z413/Z438-1</f>
        <v>-2.8251624774367268E-2</v>
      </c>
      <c r="AB463" s="53">
        <f>AB413/AB438-1</f>
        <v>9.6788230418566101E-2</v>
      </c>
      <c r="AD463" s="54">
        <f t="shared" si="359"/>
        <v>-0.30559540889526549</v>
      </c>
    </row>
    <row r="464" spans="2:30" s="20" customFormat="1"/>
    <row r="465" spans="2:30" s="20" customFormat="1">
      <c r="B465" s="20" t="s">
        <v>215</v>
      </c>
    </row>
    <row r="466" spans="2:30" s="20" customFormat="1">
      <c r="C466" s="20" t="s">
        <v>177</v>
      </c>
      <c r="G466" s="53">
        <f t="shared" ref="G466:H469" si="360">G428/G453-1</f>
        <v>0.10256410256410264</v>
      </c>
      <c r="H466" s="53">
        <f t="shared" si="360"/>
        <v>0.11627906976744184</v>
      </c>
      <c r="I466" s="53"/>
      <c r="J466" s="53">
        <f>J428/J453-1</f>
        <v>-1.9230769230769384E-2</v>
      </c>
      <c r="Z466" s="53">
        <f>Z428/Z453-1</f>
        <v>8.5106382978723305E-2</v>
      </c>
      <c r="AB466" s="53">
        <f>AB428/AB453-1</f>
        <v>0</v>
      </c>
      <c r="AD466" s="53">
        <f>AD428/AD453-1</f>
        <v>-0.27659574468085113</v>
      </c>
    </row>
    <row r="467" spans="2:30" s="20" customFormat="1">
      <c r="C467" s="20" t="s">
        <v>178</v>
      </c>
      <c r="G467" s="53">
        <f t="shared" si="360"/>
        <v>0.17073170731707332</v>
      </c>
      <c r="H467" s="53">
        <f t="shared" si="360"/>
        <v>0.10416666666666674</v>
      </c>
      <c r="I467" s="53"/>
      <c r="J467" s="53">
        <f>J429/J454-1</f>
        <v>-1.8518518518518601E-2</v>
      </c>
      <c r="Z467" s="53">
        <f>Z429/Z454-1</f>
        <v>0</v>
      </c>
      <c r="AB467" s="53">
        <f>AB429/AB454-1</f>
        <v>1.9230769230769162E-2</v>
      </c>
      <c r="AD467" s="53">
        <f>AD429/AD454-1</f>
        <v>-0.24</v>
      </c>
    </row>
    <row r="468" spans="2:30" s="20" customFormat="1">
      <c r="C468" s="20" t="s">
        <v>181</v>
      </c>
      <c r="G468" s="53">
        <f t="shared" si="360"/>
        <v>0.11764705882352944</v>
      </c>
      <c r="H468" s="53">
        <f t="shared" si="360"/>
        <v>0.14634146341463428</v>
      </c>
      <c r="I468" s="53"/>
      <c r="J468" s="53">
        <f>J430/J455-1</f>
        <v>6.1224489795918435E-2</v>
      </c>
      <c r="Z468" s="53">
        <f>Z430/Z455-1</f>
        <v>6.3829787234042534E-2</v>
      </c>
      <c r="AB468" s="53">
        <f>AB430/AB455-1</f>
        <v>8.5106382978723305E-2</v>
      </c>
      <c r="AD468" s="53">
        <f>AD430/AD455-1</f>
        <v>-0.14583333333333337</v>
      </c>
    </row>
    <row r="469" spans="2:30" s="20" customFormat="1">
      <c r="C469" s="20" t="s">
        <v>182</v>
      </c>
      <c r="G469" s="53">
        <f t="shared" si="360"/>
        <v>0.18181818181818166</v>
      </c>
      <c r="H469" s="53">
        <f t="shared" si="360"/>
        <v>2.0000000000000018E-2</v>
      </c>
      <c r="I469" s="53"/>
      <c r="J469" s="53">
        <f>J431/J456-1</f>
        <v>0.10000000000000009</v>
      </c>
      <c r="Z469" s="53">
        <f>Z431/Z456-1</f>
        <v>0</v>
      </c>
      <c r="AB469" s="53">
        <f>AB431/AB456-1</f>
        <v>0.10256410256410264</v>
      </c>
      <c r="AD469" s="53">
        <f>AD431/AD456-1</f>
        <v>-0.3076923076923076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使用说明</vt:lpstr>
      <vt:lpstr>海底捞model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 Yu Fei</dc:creator>
  <cp:lastModifiedBy>Qiu Yu Fei</cp:lastModifiedBy>
  <dcterms:created xsi:type="dcterms:W3CDTF">2021-03-23T05:04:43Z</dcterms:created>
  <dcterms:modified xsi:type="dcterms:W3CDTF">2021-03-23T08:02:00Z</dcterms:modified>
</cp:coreProperties>
</file>