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uyufei/Desktop/"/>
    </mc:Choice>
  </mc:AlternateContent>
  <xr:revisionPtr revIDLastSave="0" documentId="13_ncr:1_{2D4C8932-313F-CA4E-A887-858EAA212F87}" xr6:coauthVersionLast="46" xr6:coauthVersionMax="46" xr10:uidLastSave="{00000000-0000-0000-0000-000000000000}"/>
  <bookViews>
    <workbookView xWindow="600" yWindow="-19600" windowWidth="27840" windowHeight="15480" xr2:uid="{258ABD70-D4A6-0D4B-BBCA-2575C0BBA727}"/>
  </bookViews>
  <sheets>
    <sheet name="使用说明" sheetId="2" r:id="rId1"/>
    <sheet name="海底捞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78" i="1" l="1"/>
  <c r="AB478" i="1"/>
  <c r="Z478" i="1"/>
  <c r="K478" i="1"/>
  <c r="J478" i="1"/>
  <c r="H478" i="1"/>
  <c r="G478" i="1"/>
  <c r="AD477" i="1"/>
  <c r="AB477" i="1"/>
  <c r="Z477" i="1"/>
  <c r="K477" i="1"/>
  <c r="J477" i="1"/>
  <c r="H477" i="1"/>
  <c r="G477" i="1"/>
  <c r="AD476" i="1"/>
  <c r="AB476" i="1"/>
  <c r="Z476" i="1"/>
  <c r="K476" i="1"/>
  <c r="J476" i="1"/>
  <c r="H476" i="1"/>
  <c r="G476" i="1"/>
  <c r="AD475" i="1"/>
  <c r="AB475" i="1"/>
  <c r="Z475" i="1"/>
  <c r="K475" i="1"/>
  <c r="J475" i="1"/>
  <c r="H475" i="1"/>
  <c r="G475" i="1"/>
  <c r="AD472" i="1"/>
  <c r="AB472" i="1"/>
  <c r="Z472" i="1"/>
  <c r="J472" i="1"/>
  <c r="I472" i="1"/>
  <c r="H472" i="1"/>
  <c r="G472" i="1"/>
  <c r="AD471" i="1"/>
  <c r="AB471" i="1"/>
  <c r="Z471" i="1"/>
  <c r="J471" i="1"/>
  <c r="I471" i="1"/>
  <c r="H471" i="1"/>
  <c r="G471" i="1"/>
  <c r="AD470" i="1"/>
  <c r="AB470" i="1"/>
  <c r="Z470" i="1"/>
  <c r="J470" i="1"/>
  <c r="I470" i="1"/>
  <c r="H470" i="1"/>
  <c r="G470" i="1"/>
  <c r="AD469" i="1"/>
  <c r="AB469" i="1"/>
  <c r="Z469" i="1"/>
  <c r="J469" i="1"/>
  <c r="I469" i="1"/>
  <c r="H469" i="1"/>
  <c r="G469" i="1"/>
  <c r="K459" i="1"/>
  <c r="K447" i="1" s="1"/>
  <c r="J459" i="1"/>
  <c r="I459" i="1"/>
  <c r="H459" i="1"/>
  <c r="G459" i="1"/>
  <c r="K458" i="1"/>
  <c r="K446" i="1" s="1"/>
  <c r="J458" i="1"/>
  <c r="I458" i="1"/>
  <c r="H458" i="1"/>
  <c r="G458" i="1"/>
  <c r="K457" i="1"/>
  <c r="K445" i="1" s="1"/>
  <c r="J457" i="1"/>
  <c r="I457" i="1"/>
  <c r="H457" i="1"/>
  <c r="H455" i="1" s="1"/>
  <c r="G457" i="1"/>
  <c r="K456" i="1"/>
  <c r="J456" i="1"/>
  <c r="I456" i="1"/>
  <c r="H456" i="1"/>
  <c r="G456" i="1"/>
  <c r="G455" i="1" s="1"/>
  <c r="K444" i="1"/>
  <c r="AB443" i="1"/>
  <c r="AB468" i="1" s="1"/>
  <c r="Z443" i="1"/>
  <c r="J443" i="1"/>
  <c r="I443" i="1"/>
  <c r="H443" i="1"/>
  <c r="G443" i="1"/>
  <c r="K434" i="1"/>
  <c r="K422" i="1" s="1"/>
  <c r="K472" i="1" s="1"/>
  <c r="J434" i="1"/>
  <c r="I434" i="1"/>
  <c r="H434" i="1"/>
  <c r="G434" i="1"/>
  <c r="K433" i="1"/>
  <c r="K421" i="1" s="1"/>
  <c r="J433" i="1"/>
  <c r="I433" i="1"/>
  <c r="H433" i="1"/>
  <c r="G433" i="1"/>
  <c r="K432" i="1"/>
  <c r="J432" i="1"/>
  <c r="I432" i="1"/>
  <c r="H432" i="1"/>
  <c r="G432" i="1"/>
  <c r="K431" i="1"/>
  <c r="J431" i="1"/>
  <c r="I431" i="1"/>
  <c r="H431" i="1"/>
  <c r="G431" i="1"/>
  <c r="K420" i="1"/>
  <c r="AB418" i="1"/>
  <c r="Z418" i="1"/>
  <c r="Z468" i="1" s="1"/>
  <c r="J418" i="1"/>
  <c r="J468" i="1" s="1"/>
  <c r="I418" i="1"/>
  <c r="H418" i="1"/>
  <c r="G418" i="1"/>
  <c r="K415" i="1"/>
  <c r="J415" i="1"/>
  <c r="I415" i="1"/>
  <c r="H415" i="1"/>
  <c r="G415" i="1"/>
  <c r="K414" i="1"/>
  <c r="J414" i="1"/>
  <c r="I414" i="1"/>
  <c r="H414" i="1"/>
  <c r="G414" i="1"/>
  <c r="K413" i="1"/>
  <c r="J413" i="1"/>
  <c r="I413" i="1"/>
  <c r="H413" i="1"/>
  <c r="G413" i="1"/>
  <c r="K412" i="1"/>
  <c r="J412" i="1"/>
  <c r="I412" i="1"/>
  <c r="H412" i="1"/>
  <c r="G412" i="1"/>
  <c r="AD405" i="1"/>
  <c r="AB405" i="1"/>
  <c r="Z405" i="1"/>
  <c r="K405" i="1"/>
  <c r="J405" i="1"/>
  <c r="I405" i="1"/>
  <c r="I411" i="1" s="1"/>
  <c r="H405" i="1"/>
  <c r="G405" i="1"/>
  <c r="Z400" i="1"/>
  <c r="X400" i="1"/>
  <c r="H400" i="1"/>
  <c r="G400" i="1"/>
  <c r="F400" i="1"/>
  <c r="Z399" i="1"/>
  <c r="X399" i="1"/>
  <c r="H399" i="1"/>
  <c r="G399" i="1"/>
  <c r="F399" i="1"/>
  <c r="Z398" i="1"/>
  <c r="X398" i="1"/>
  <c r="H398" i="1"/>
  <c r="G398" i="1"/>
  <c r="F398" i="1"/>
  <c r="Z397" i="1"/>
  <c r="X397" i="1"/>
  <c r="H397" i="1"/>
  <c r="G397" i="1"/>
  <c r="F397" i="1"/>
  <c r="Z396" i="1"/>
  <c r="Y394" i="1"/>
  <c r="Y393" i="1"/>
  <c r="Y392" i="1"/>
  <c r="Y391" i="1"/>
  <c r="Z390" i="1"/>
  <c r="X390" i="1"/>
  <c r="J390" i="1"/>
  <c r="H390" i="1"/>
  <c r="H396" i="1" s="1"/>
  <c r="G390" i="1"/>
  <c r="F390" i="1"/>
  <c r="AB385" i="1"/>
  <c r="AB387" i="1" s="1"/>
  <c r="K385" i="1"/>
  <c r="AB383" i="1"/>
  <c r="K383" i="1"/>
  <c r="L383" i="1" s="1"/>
  <c r="M383" i="1" s="1"/>
  <c r="N383" i="1" s="1"/>
  <c r="J383" i="1"/>
  <c r="F383" i="1"/>
  <c r="AE382" i="1"/>
  <c r="AC382" i="1"/>
  <c r="AA382" i="1"/>
  <c r="Y382" i="1"/>
  <c r="AE380" i="1"/>
  <c r="AC380" i="1"/>
  <c r="AA380" i="1"/>
  <c r="AA354" i="1" s="1"/>
  <c r="Y380" i="1"/>
  <c r="Y400" i="1" s="1"/>
  <c r="AE379" i="1"/>
  <c r="AC379" i="1"/>
  <c r="AA379" i="1"/>
  <c r="Y379" i="1"/>
  <c r="AE378" i="1"/>
  <c r="AC378" i="1"/>
  <c r="AA378" i="1"/>
  <c r="Y378" i="1"/>
  <c r="AE377" i="1"/>
  <c r="AC377" i="1"/>
  <c r="AA377" i="1"/>
  <c r="Y377" i="1"/>
  <c r="AE375" i="1"/>
  <c r="AD375" i="1"/>
  <c r="AB375" i="1"/>
  <c r="Z375" i="1"/>
  <c r="X375" i="1"/>
  <c r="X385" i="1" s="1"/>
  <c r="X387" i="1" s="1"/>
  <c r="K375" i="1"/>
  <c r="J375" i="1"/>
  <c r="K376" i="1" s="1"/>
  <c r="I375" i="1"/>
  <c r="H375" i="1"/>
  <c r="H376" i="1" s="1"/>
  <c r="G375" i="1"/>
  <c r="G376" i="1" s="1"/>
  <c r="F375" i="1"/>
  <c r="F385" i="1" s="1"/>
  <c r="F387" i="1" s="1"/>
  <c r="G372" i="1"/>
  <c r="Z367" i="1"/>
  <c r="X367" i="1"/>
  <c r="H367" i="1"/>
  <c r="G367" i="1"/>
  <c r="F367" i="1"/>
  <c r="G373" i="1" s="1"/>
  <c r="Z366" i="1"/>
  <c r="X366" i="1"/>
  <c r="H366" i="1"/>
  <c r="G366" i="1"/>
  <c r="F366" i="1"/>
  <c r="Z365" i="1"/>
  <c r="Z371" i="1" s="1"/>
  <c r="X365" i="1"/>
  <c r="H365" i="1"/>
  <c r="G365" i="1"/>
  <c r="F365" i="1"/>
  <c r="Z364" i="1"/>
  <c r="Z370" i="1" s="1"/>
  <c r="X364" i="1"/>
  <c r="H364" i="1"/>
  <c r="H370" i="1" s="1"/>
  <c r="G364" i="1"/>
  <c r="F364" i="1"/>
  <c r="S361" i="1"/>
  <c r="T361" i="1" s="1"/>
  <c r="U361" i="1" s="1"/>
  <c r="M361" i="1"/>
  <c r="N361" i="1" s="1"/>
  <c r="O361" i="1" s="1"/>
  <c r="P361" i="1" s="1"/>
  <c r="Q361" i="1" s="1"/>
  <c r="R361" i="1" s="1"/>
  <c r="M360" i="1"/>
  <c r="N360" i="1" s="1"/>
  <c r="O360" i="1" s="1"/>
  <c r="P360" i="1" s="1"/>
  <c r="Q360" i="1" s="1"/>
  <c r="R360" i="1" s="1"/>
  <c r="S360" i="1" s="1"/>
  <c r="T360" i="1" s="1"/>
  <c r="U360" i="1" s="1"/>
  <c r="M359" i="1"/>
  <c r="N359" i="1" s="1"/>
  <c r="O359" i="1" s="1"/>
  <c r="P359" i="1" s="1"/>
  <c r="Q359" i="1" s="1"/>
  <c r="R359" i="1" s="1"/>
  <c r="S359" i="1" s="1"/>
  <c r="T359" i="1" s="1"/>
  <c r="U359" i="1" s="1"/>
  <c r="N358" i="1"/>
  <c r="O358" i="1" s="1"/>
  <c r="P358" i="1" s="1"/>
  <c r="Q358" i="1" s="1"/>
  <c r="R358" i="1" s="1"/>
  <c r="S358" i="1" s="1"/>
  <c r="T358" i="1" s="1"/>
  <c r="U358" i="1" s="1"/>
  <c r="AB354" i="1"/>
  <c r="AE352" i="1"/>
  <c r="AB352" i="1"/>
  <c r="AE347" i="1"/>
  <c r="AE346" i="1"/>
  <c r="AD346" i="1"/>
  <c r="AA345" i="1"/>
  <c r="AE342" i="1"/>
  <c r="AE348" i="1" s="1"/>
  <c r="AD342" i="1"/>
  <c r="AC342" i="1"/>
  <c r="AB342" i="1"/>
  <c r="AB348" i="1" s="1"/>
  <c r="AA342" i="1"/>
  <c r="AA348" i="1" s="1"/>
  <c r="G342" i="1"/>
  <c r="F342" i="1"/>
  <c r="AE341" i="1"/>
  <c r="AE353" i="1" s="1"/>
  <c r="AD341" i="1"/>
  <c r="K341" i="1" s="1"/>
  <c r="AC341" i="1"/>
  <c r="J341" i="1" s="1"/>
  <c r="J347" i="1" s="1"/>
  <c r="AB341" i="1"/>
  <c r="AB353" i="1" s="1"/>
  <c r="AA341" i="1"/>
  <c r="AE340" i="1"/>
  <c r="AD340" i="1"/>
  <c r="K340" i="1" s="1"/>
  <c r="K352" i="1" s="1"/>
  <c r="AC340" i="1"/>
  <c r="J340" i="1" s="1"/>
  <c r="J352" i="1" s="1"/>
  <c r="AB340" i="1"/>
  <c r="AB346" i="1" s="1"/>
  <c r="AA340" i="1"/>
  <c r="AA346" i="1" s="1"/>
  <c r="AE339" i="1"/>
  <c r="AE345" i="1" s="1"/>
  <c r="AD339" i="1"/>
  <c r="AC339" i="1"/>
  <c r="AC338" i="1" s="1"/>
  <c r="AC344" i="1" s="1"/>
  <c r="AB339" i="1"/>
  <c r="AB351" i="1" s="1"/>
  <c r="AA339" i="1"/>
  <c r="AA338" i="1"/>
  <c r="Z319" i="1"/>
  <c r="AD314" i="1"/>
  <c r="AB314" i="1"/>
  <c r="Z314" i="1"/>
  <c r="X314" i="1"/>
  <c r="X342" i="1" s="1"/>
  <c r="K314" i="1"/>
  <c r="J314" i="1"/>
  <c r="AC314" i="1" s="1"/>
  <c r="I314" i="1"/>
  <c r="I310" i="1" s="1"/>
  <c r="I298" i="1" s="1"/>
  <c r="H314" i="1"/>
  <c r="H320" i="1" s="1"/>
  <c r="G314" i="1"/>
  <c r="F314" i="1"/>
  <c r="AD313" i="1"/>
  <c r="AC313" i="1"/>
  <c r="AB313" i="1"/>
  <c r="Z313" i="1"/>
  <c r="Z341" i="1" s="1"/>
  <c r="X313" i="1"/>
  <c r="X341" i="1" s="1"/>
  <c r="K313" i="1"/>
  <c r="K319" i="1" s="1"/>
  <c r="J313" i="1"/>
  <c r="J319" i="1" s="1"/>
  <c r="I313" i="1"/>
  <c r="H313" i="1"/>
  <c r="I319" i="1" s="1"/>
  <c r="G313" i="1"/>
  <c r="F313" i="1"/>
  <c r="AD312" i="1"/>
  <c r="AB312" i="1"/>
  <c r="AB334" i="1" s="1"/>
  <c r="AB365" i="1" s="1"/>
  <c r="AB371" i="1" s="1"/>
  <c r="Z312" i="1"/>
  <c r="Z340" i="1" s="1"/>
  <c r="X312" i="1"/>
  <c r="X340" i="1" s="1"/>
  <c r="K312" i="1"/>
  <c r="J312" i="1"/>
  <c r="I312" i="1"/>
  <c r="H312" i="1"/>
  <c r="G312" i="1"/>
  <c r="G340" i="1" s="1"/>
  <c r="F312" i="1"/>
  <c r="F340" i="1" s="1"/>
  <c r="AD311" i="1"/>
  <c r="AD333" i="1" s="1"/>
  <c r="AD364" i="1" s="1"/>
  <c r="AB311" i="1"/>
  <c r="AB317" i="1" s="1"/>
  <c r="Z311" i="1"/>
  <c r="X311" i="1"/>
  <c r="X339" i="1" s="1"/>
  <c r="K311" i="1"/>
  <c r="J311" i="1"/>
  <c r="J317" i="1" s="1"/>
  <c r="I311" i="1"/>
  <c r="H311" i="1"/>
  <c r="I317" i="1" s="1"/>
  <c r="G311" i="1"/>
  <c r="G339" i="1" s="1"/>
  <c r="G345" i="1" s="1"/>
  <c r="F311" i="1"/>
  <c r="F339" i="1" s="1"/>
  <c r="F310" i="1"/>
  <c r="AD308" i="1"/>
  <c r="AB308" i="1"/>
  <c r="Z308" i="1"/>
  <c r="K308" i="1"/>
  <c r="J308" i="1"/>
  <c r="I308" i="1"/>
  <c r="H308" i="1"/>
  <c r="G308" i="1"/>
  <c r="AD307" i="1"/>
  <c r="AB307" i="1"/>
  <c r="Z307" i="1"/>
  <c r="K307" i="1"/>
  <c r="J307" i="1"/>
  <c r="I307" i="1"/>
  <c r="H307" i="1"/>
  <c r="G307" i="1"/>
  <c r="AD306" i="1"/>
  <c r="AB306" i="1"/>
  <c r="Z306" i="1"/>
  <c r="K306" i="1"/>
  <c r="J306" i="1"/>
  <c r="I306" i="1"/>
  <c r="H306" i="1"/>
  <c r="G306" i="1"/>
  <c r="AD305" i="1"/>
  <c r="AB305" i="1"/>
  <c r="Z305" i="1"/>
  <c r="K305" i="1"/>
  <c r="J305" i="1"/>
  <c r="I305" i="1"/>
  <c r="H305" i="1"/>
  <c r="G305" i="1"/>
  <c r="L302" i="1"/>
  <c r="L301" i="1"/>
  <c r="L300" i="1"/>
  <c r="L299" i="1"/>
  <c r="F298" i="1"/>
  <c r="AC296" i="1"/>
  <c r="AD281" i="1" s="1"/>
  <c r="AD283" i="1" s="1"/>
  <c r="AE289" i="1"/>
  <c r="AD289" i="1"/>
  <c r="AC289" i="1"/>
  <c r="AB289" i="1"/>
  <c r="AA289" i="1"/>
  <c r="Z289" i="1"/>
  <c r="K289" i="1"/>
  <c r="J289" i="1"/>
  <c r="I289" i="1"/>
  <c r="H289" i="1"/>
  <c r="G289" i="1"/>
  <c r="AE288" i="1"/>
  <c r="AD288" i="1"/>
  <c r="AC288" i="1"/>
  <c r="AB288" i="1"/>
  <c r="AA288" i="1"/>
  <c r="Z288" i="1"/>
  <c r="K288" i="1"/>
  <c r="J288" i="1"/>
  <c r="I288" i="1"/>
  <c r="H288" i="1"/>
  <c r="G288" i="1"/>
  <c r="AE287" i="1"/>
  <c r="AD287" i="1"/>
  <c r="AC287" i="1"/>
  <c r="AB287" i="1"/>
  <c r="AA287" i="1"/>
  <c r="Z287" i="1"/>
  <c r="U287" i="1"/>
  <c r="T287" i="1"/>
  <c r="N287" i="1"/>
  <c r="K287" i="1"/>
  <c r="J287" i="1"/>
  <c r="I287" i="1"/>
  <c r="H287" i="1"/>
  <c r="G287" i="1"/>
  <c r="AE286" i="1"/>
  <c r="AD286" i="1"/>
  <c r="AC286" i="1"/>
  <c r="AB286" i="1"/>
  <c r="AA286" i="1"/>
  <c r="Z286" i="1"/>
  <c r="K286" i="1"/>
  <c r="J286" i="1"/>
  <c r="I286" i="1"/>
  <c r="H286" i="1"/>
  <c r="G286" i="1"/>
  <c r="U285" i="1"/>
  <c r="T285" i="1"/>
  <c r="S285" i="1"/>
  <c r="R285" i="1"/>
  <c r="Q285" i="1"/>
  <c r="P285" i="1"/>
  <c r="O285" i="1"/>
  <c r="N285" i="1"/>
  <c r="M285" i="1"/>
  <c r="M287" i="1" s="1"/>
  <c r="L285" i="1"/>
  <c r="L287" i="1" s="1"/>
  <c r="L265" i="1" s="1"/>
  <c r="L271" i="1" s="1"/>
  <c r="F283" i="1"/>
  <c r="AE282" i="1"/>
  <c r="AC282" i="1"/>
  <c r="AA282" i="1"/>
  <c r="I279" i="1"/>
  <c r="I278" i="1"/>
  <c r="G277" i="1"/>
  <c r="I276" i="1"/>
  <c r="AE273" i="1"/>
  <c r="AD273" i="1"/>
  <c r="AC273" i="1"/>
  <c r="AB273" i="1"/>
  <c r="AA273" i="1"/>
  <c r="Z273" i="1"/>
  <c r="K273" i="1"/>
  <c r="J273" i="1"/>
  <c r="I273" i="1"/>
  <c r="H273" i="1"/>
  <c r="G273" i="1"/>
  <c r="AE272" i="1"/>
  <c r="AD272" i="1"/>
  <c r="AC272" i="1"/>
  <c r="AB272" i="1"/>
  <c r="AA272" i="1"/>
  <c r="Z272" i="1"/>
  <c r="K272" i="1"/>
  <c r="J272" i="1"/>
  <c r="I272" i="1"/>
  <c r="H272" i="1"/>
  <c r="G272" i="1"/>
  <c r="AE271" i="1"/>
  <c r="AD271" i="1"/>
  <c r="AC271" i="1"/>
  <c r="AB271" i="1"/>
  <c r="AA271" i="1"/>
  <c r="Z271" i="1"/>
  <c r="K271" i="1"/>
  <c r="J271" i="1"/>
  <c r="I271" i="1"/>
  <c r="H271" i="1"/>
  <c r="G271" i="1"/>
  <c r="AE270" i="1"/>
  <c r="AD270" i="1"/>
  <c r="AC270" i="1"/>
  <c r="AB270" i="1"/>
  <c r="AA270" i="1"/>
  <c r="Z270" i="1"/>
  <c r="K270" i="1"/>
  <c r="J270" i="1"/>
  <c r="I270" i="1"/>
  <c r="H270" i="1"/>
  <c r="G270" i="1"/>
  <c r="I269" i="1"/>
  <c r="AE263" i="1"/>
  <c r="AE296" i="1" s="1"/>
  <c r="AD263" i="1"/>
  <c r="AC263" i="1"/>
  <c r="AC269" i="1" s="1"/>
  <c r="AB263" i="1"/>
  <c r="AA263" i="1"/>
  <c r="Z263" i="1"/>
  <c r="Z296" i="1" s="1"/>
  <c r="Y263" i="1"/>
  <c r="Y296" i="1" s="1"/>
  <c r="Z281" i="1" s="1"/>
  <c r="X263" i="1"/>
  <c r="K263" i="1"/>
  <c r="K276" i="1" s="1"/>
  <c r="J263" i="1"/>
  <c r="J279" i="1" s="1"/>
  <c r="I263" i="1"/>
  <c r="I296" i="1" s="1"/>
  <c r="J281" i="1" s="1"/>
  <c r="J283" i="1" s="1"/>
  <c r="H263" i="1"/>
  <c r="H277" i="1" s="1"/>
  <c r="G263" i="1"/>
  <c r="F263" i="1"/>
  <c r="F296" i="1" s="1"/>
  <c r="F284" i="1" s="1"/>
  <c r="G260" i="1"/>
  <c r="H260" i="1"/>
  <c r="AD245" i="1"/>
  <c r="AD246" i="1" s="1"/>
  <c r="AB245" i="1"/>
  <c r="AB246" i="1" s="1"/>
  <c r="Z245" i="1"/>
  <c r="Z246" i="1" s="1"/>
  <c r="X245" i="1"/>
  <c r="X246" i="1" s="1"/>
  <c r="I245" i="1"/>
  <c r="I246" i="1" s="1"/>
  <c r="AD242" i="1"/>
  <c r="AD243" i="1" s="1"/>
  <c r="AC242" i="1"/>
  <c r="AB242" i="1"/>
  <c r="AC241" i="1" s="1"/>
  <c r="AA242" i="1"/>
  <c r="AB241" i="1" s="1"/>
  <c r="Z242" i="1"/>
  <c r="AA241" i="1" s="1"/>
  <c r="Y242" i="1"/>
  <c r="J242" i="1"/>
  <c r="I242" i="1"/>
  <c r="H242" i="1"/>
  <c r="H243" i="1" s="1"/>
  <c r="G242" i="1"/>
  <c r="G243" i="1" s="1"/>
  <c r="F242" i="1"/>
  <c r="F243" i="1" s="1"/>
  <c r="AD241" i="1"/>
  <c r="Z241" i="1"/>
  <c r="I241" i="1"/>
  <c r="H241" i="1"/>
  <c r="G241" i="1"/>
  <c r="AC240" i="1"/>
  <c r="AA240" i="1"/>
  <c r="Y240" i="1"/>
  <c r="AC239" i="1"/>
  <c r="AA239" i="1"/>
  <c r="Y239" i="1"/>
  <c r="AD238" i="1"/>
  <c r="AB238" i="1"/>
  <c r="Z238" i="1"/>
  <c r="X238" i="1"/>
  <c r="J238" i="1"/>
  <c r="I238" i="1"/>
  <c r="H238" i="1"/>
  <c r="G238" i="1"/>
  <c r="F238" i="1"/>
  <c r="Z236" i="1"/>
  <c r="K236" i="1"/>
  <c r="AC235" i="1"/>
  <c r="Y235" i="1"/>
  <c r="I235" i="1"/>
  <c r="AA235" i="1" s="1"/>
  <c r="AC234" i="1"/>
  <c r="AA234" i="1"/>
  <c r="Y234" i="1"/>
  <c r="AC233" i="1"/>
  <c r="AA233" i="1"/>
  <c r="Y233" i="1"/>
  <c r="AC232" i="1"/>
  <c r="Z232" i="1"/>
  <c r="X232" i="1"/>
  <c r="I232" i="1"/>
  <c r="AA232" i="1" s="1"/>
  <c r="H232" i="1"/>
  <c r="AA231" i="1"/>
  <c r="Z231" i="1"/>
  <c r="I231" i="1"/>
  <c r="H231" i="1"/>
  <c r="G231" i="1"/>
  <c r="G236" i="1" s="1"/>
  <c r="F231" i="1"/>
  <c r="F236" i="1" s="1"/>
  <c r="AC230" i="1"/>
  <c r="AA230" i="1"/>
  <c r="Y230" i="1"/>
  <c r="U228" i="1"/>
  <c r="T228" i="1"/>
  <c r="S228" i="1"/>
  <c r="R228" i="1"/>
  <c r="Q228" i="1"/>
  <c r="P228" i="1"/>
  <c r="O228" i="1"/>
  <c r="N228" i="1"/>
  <c r="M228" i="1"/>
  <c r="L228" i="1"/>
  <c r="F228" i="1"/>
  <c r="AD227" i="1"/>
  <c r="AD228" i="1" s="1"/>
  <c r="AC227" i="1"/>
  <c r="AB227" i="1"/>
  <c r="AB228" i="1" s="1"/>
  <c r="AA227" i="1"/>
  <c r="Z227" i="1"/>
  <c r="Z228" i="1" s="1"/>
  <c r="J227" i="1"/>
  <c r="J228" i="1" s="1"/>
  <c r="I227" i="1"/>
  <c r="I228" i="1" s="1"/>
  <c r="H227" i="1"/>
  <c r="H228" i="1" s="1"/>
  <c r="G227" i="1"/>
  <c r="G228" i="1" s="1"/>
  <c r="AC226" i="1"/>
  <c r="AA226" i="1"/>
  <c r="Y226" i="1"/>
  <c r="AC225" i="1"/>
  <c r="AA225" i="1"/>
  <c r="AA245" i="1" s="1"/>
  <c r="Y225" i="1"/>
  <c r="K225" i="1"/>
  <c r="AC224" i="1"/>
  <c r="AA224" i="1"/>
  <c r="Y224" i="1"/>
  <c r="AC223" i="1"/>
  <c r="AA223" i="1"/>
  <c r="Y223" i="1"/>
  <c r="J220" i="1"/>
  <c r="J245" i="1" s="1"/>
  <c r="J246" i="1" s="1"/>
  <c r="I220" i="1"/>
  <c r="H220" i="1"/>
  <c r="H245" i="1" s="1"/>
  <c r="H246" i="1" s="1"/>
  <c r="G220" i="1"/>
  <c r="G245" i="1" s="1"/>
  <c r="G246" i="1" s="1"/>
  <c r="F220" i="1"/>
  <c r="F245" i="1" s="1"/>
  <c r="F246" i="1" s="1"/>
  <c r="Z217" i="1"/>
  <c r="H217" i="1"/>
  <c r="G217" i="1"/>
  <c r="F217" i="1"/>
  <c r="AC215" i="1"/>
  <c r="AC54" i="1" s="1"/>
  <c r="AA215" i="1"/>
  <c r="Y215" i="1"/>
  <c r="AC214" i="1"/>
  <c r="AA214" i="1"/>
  <c r="Y214" i="1"/>
  <c r="AC213" i="1"/>
  <c r="AA213" i="1"/>
  <c r="Y213" i="1"/>
  <c r="AC211" i="1"/>
  <c r="AC245" i="1" s="1"/>
  <c r="AA211" i="1"/>
  <c r="Y211" i="1"/>
  <c r="Y245" i="1" s="1"/>
  <c r="AE208" i="1"/>
  <c r="AD208" i="1"/>
  <c r="AC208" i="1"/>
  <c r="AB208" i="1"/>
  <c r="AA208" i="1"/>
  <c r="Z208" i="1"/>
  <c r="Y208" i="1"/>
  <c r="X208" i="1"/>
  <c r="K208" i="1"/>
  <c r="J208" i="1"/>
  <c r="I208" i="1"/>
  <c r="H208" i="1"/>
  <c r="G208" i="1"/>
  <c r="F208" i="1"/>
  <c r="AE207" i="1"/>
  <c r="AD207" i="1"/>
  <c r="AC207" i="1"/>
  <c r="AB207" i="1"/>
  <c r="AA207" i="1"/>
  <c r="Z207" i="1"/>
  <c r="Y207" i="1"/>
  <c r="X207" i="1"/>
  <c r="K207" i="1"/>
  <c r="J207" i="1"/>
  <c r="I207" i="1"/>
  <c r="H207" i="1"/>
  <c r="G207" i="1"/>
  <c r="F207" i="1"/>
  <c r="AE206" i="1"/>
  <c r="AD206" i="1"/>
  <c r="AC206" i="1"/>
  <c r="AB206" i="1"/>
  <c r="AA206" i="1"/>
  <c r="Z206" i="1"/>
  <c r="Y206" i="1"/>
  <c r="X206" i="1"/>
  <c r="K206" i="1"/>
  <c r="J206" i="1"/>
  <c r="I206" i="1"/>
  <c r="H206" i="1"/>
  <c r="G206" i="1"/>
  <c r="F206" i="1"/>
  <c r="AE205" i="1"/>
  <c r="AB205" i="1"/>
  <c r="AA205" i="1"/>
  <c r="Z205" i="1"/>
  <c r="Y205" i="1"/>
  <c r="X205" i="1"/>
  <c r="I205" i="1"/>
  <c r="H205" i="1"/>
  <c r="G205" i="1"/>
  <c r="F205" i="1"/>
  <c r="AE204" i="1"/>
  <c r="AD204" i="1"/>
  <c r="AC204" i="1"/>
  <c r="AB204" i="1"/>
  <c r="AA204" i="1"/>
  <c r="Z204" i="1"/>
  <c r="Y204" i="1"/>
  <c r="X204" i="1"/>
  <c r="K204" i="1"/>
  <c r="J204" i="1"/>
  <c r="I204" i="1"/>
  <c r="H204" i="1"/>
  <c r="G204" i="1"/>
  <c r="F204" i="1"/>
  <c r="AE203" i="1"/>
  <c r="AD203" i="1"/>
  <c r="AC203" i="1"/>
  <c r="AB203" i="1"/>
  <c r="AA203" i="1"/>
  <c r="Z203" i="1"/>
  <c r="Y203" i="1"/>
  <c r="X203" i="1"/>
  <c r="K203" i="1"/>
  <c r="J203" i="1"/>
  <c r="I203" i="1"/>
  <c r="H203" i="1"/>
  <c r="G203" i="1"/>
  <c r="F203" i="1"/>
  <c r="AE202" i="1"/>
  <c r="AD202" i="1"/>
  <c r="AC202" i="1"/>
  <c r="AB202" i="1"/>
  <c r="AA202" i="1"/>
  <c r="Z202" i="1"/>
  <c r="Z200" i="1" s="1"/>
  <c r="Y202" i="1"/>
  <c r="X202" i="1"/>
  <c r="K202" i="1"/>
  <c r="J202" i="1"/>
  <c r="I202" i="1"/>
  <c r="H202" i="1"/>
  <c r="G202" i="1"/>
  <c r="F202" i="1"/>
  <c r="AE201" i="1"/>
  <c r="AD201" i="1"/>
  <c r="AC201" i="1"/>
  <c r="AB201" i="1"/>
  <c r="AA201" i="1"/>
  <c r="Z201" i="1"/>
  <c r="Y201" i="1"/>
  <c r="X201" i="1"/>
  <c r="X200" i="1" s="1"/>
  <c r="K201" i="1"/>
  <c r="J201" i="1"/>
  <c r="I201" i="1"/>
  <c r="H201" i="1"/>
  <c r="G201" i="1"/>
  <c r="F201" i="1"/>
  <c r="Y200" i="1"/>
  <c r="K195" i="1"/>
  <c r="J195" i="1"/>
  <c r="I195" i="1"/>
  <c r="AE189" i="1"/>
  <c r="AE195" i="1" s="1"/>
  <c r="AD189" i="1"/>
  <c r="AD195" i="1" s="1"/>
  <c r="AC189" i="1"/>
  <c r="AC195" i="1" s="1"/>
  <c r="AB189" i="1"/>
  <c r="AB195" i="1" s="1"/>
  <c r="AA189" i="1"/>
  <c r="AA195" i="1" s="1"/>
  <c r="Z189" i="1"/>
  <c r="Z195" i="1" s="1"/>
  <c r="Y189" i="1"/>
  <c r="Y195" i="1" s="1"/>
  <c r="X189" i="1"/>
  <c r="X195" i="1" s="1"/>
  <c r="K189" i="1"/>
  <c r="J189" i="1"/>
  <c r="I189" i="1"/>
  <c r="H189" i="1"/>
  <c r="H195" i="1" s="1"/>
  <c r="G189" i="1"/>
  <c r="G195" i="1" s="1"/>
  <c r="F189" i="1"/>
  <c r="F195" i="1" s="1"/>
  <c r="AE183" i="1"/>
  <c r="AE180" i="1" s="1"/>
  <c r="AD183" i="1"/>
  <c r="AD180" i="1" s="1"/>
  <c r="K183" i="1"/>
  <c r="AC180" i="1"/>
  <c r="AB180" i="1"/>
  <c r="AA180" i="1"/>
  <c r="Z180" i="1"/>
  <c r="Y180" i="1"/>
  <c r="X180" i="1"/>
  <c r="J180" i="1"/>
  <c r="I180" i="1"/>
  <c r="H180" i="1"/>
  <c r="G180" i="1"/>
  <c r="F180" i="1"/>
  <c r="AE176" i="1"/>
  <c r="AE169" i="1" s="1"/>
  <c r="AE187" i="1" s="1"/>
  <c r="AD176" i="1"/>
  <c r="AD231" i="1" s="1"/>
  <c r="AD236" i="1" s="1"/>
  <c r="AC176" i="1"/>
  <c r="AB176" i="1"/>
  <c r="AB169" i="1" s="1"/>
  <c r="K176" i="1"/>
  <c r="J176" i="1"/>
  <c r="J231" i="1" s="1"/>
  <c r="J236" i="1" s="1"/>
  <c r="AE172" i="1"/>
  <c r="AD172" i="1"/>
  <c r="AC172" i="1"/>
  <c r="AC169" i="1" s="1"/>
  <c r="K172" i="1"/>
  <c r="J172" i="1"/>
  <c r="J205" i="1" s="1"/>
  <c r="AA169" i="1"/>
  <c r="Z169" i="1"/>
  <c r="Y169" i="1"/>
  <c r="Y187" i="1" s="1"/>
  <c r="X169" i="1"/>
  <c r="X187" i="1" s="1"/>
  <c r="J169" i="1"/>
  <c r="J187" i="1" s="1"/>
  <c r="I169" i="1"/>
  <c r="I187" i="1" s="1"/>
  <c r="H169" i="1"/>
  <c r="G169" i="1"/>
  <c r="G187" i="1" s="1"/>
  <c r="G196" i="1" s="1"/>
  <c r="F169" i="1"/>
  <c r="AE156" i="1"/>
  <c r="AD156" i="1"/>
  <c r="AC156" i="1"/>
  <c r="AB156" i="1"/>
  <c r="AA156" i="1"/>
  <c r="Z156" i="1"/>
  <c r="Y156" i="1"/>
  <c r="X156" i="1"/>
  <c r="K156" i="1"/>
  <c r="J156" i="1"/>
  <c r="I156" i="1"/>
  <c r="H156" i="1"/>
  <c r="G156" i="1"/>
  <c r="F156" i="1"/>
  <c r="J153" i="1"/>
  <c r="I153" i="1"/>
  <c r="H153" i="1"/>
  <c r="G153" i="1"/>
  <c r="F153" i="1"/>
  <c r="J150" i="1"/>
  <c r="K144" i="1" s="1"/>
  <c r="I150" i="1"/>
  <c r="H150" i="1"/>
  <c r="G150" i="1"/>
  <c r="F150" i="1"/>
  <c r="J149" i="1"/>
  <c r="J151" i="1" s="1"/>
  <c r="L148" i="1"/>
  <c r="M148" i="1" s="1"/>
  <c r="N148" i="1" s="1"/>
  <c r="O148" i="1" s="1"/>
  <c r="P148" i="1" s="1"/>
  <c r="Q148" i="1" s="1"/>
  <c r="R148" i="1" s="1"/>
  <c r="S148" i="1" s="1"/>
  <c r="T148" i="1" s="1"/>
  <c r="U148" i="1" s="1"/>
  <c r="J147" i="1"/>
  <c r="J148" i="1" s="1"/>
  <c r="M146" i="1"/>
  <c r="M145" i="1" s="1"/>
  <c r="L146" i="1"/>
  <c r="L145" i="1"/>
  <c r="J140" i="1"/>
  <c r="I140" i="1"/>
  <c r="H140" i="1"/>
  <c r="I135" i="1" s="1"/>
  <c r="G140" i="1"/>
  <c r="H135" i="1" s="1"/>
  <c r="F140" i="1"/>
  <c r="G135" i="1" s="1"/>
  <c r="J137" i="1"/>
  <c r="I137" i="1"/>
  <c r="H137" i="1"/>
  <c r="G137" i="1"/>
  <c r="G138" i="1" s="1"/>
  <c r="F137" i="1"/>
  <c r="L136" i="1"/>
  <c r="L225" i="1" s="1"/>
  <c r="J136" i="1"/>
  <c r="I136" i="1"/>
  <c r="H136" i="1"/>
  <c r="G136" i="1"/>
  <c r="F136" i="1"/>
  <c r="K135" i="1"/>
  <c r="J135" i="1"/>
  <c r="F135" i="1"/>
  <c r="F138" i="1" s="1"/>
  <c r="G131" i="1"/>
  <c r="J129" i="1"/>
  <c r="K121" i="1" s="1"/>
  <c r="I129" i="1"/>
  <c r="I131" i="1" s="1"/>
  <c r="H129" i="1"/>
  <c r="H131" i="1" s="1"/>
  <c r="H132" i="1" s="1"/>
  <c r="G129" i="1"/>
  <c r="F129" i="1"/>
  <c r="F127" i="1"/>
  <c r="J126" i="1"/>
  <c r="I126" i="1"/>
  <c r="H126" i="1"/>
  <c r="G126" i="1"/>
  <c r="F126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H124" i="1" s="1"/>
  <c r="G123" i="1"/>
  <c r="G124" i="1" s="1"/>
  <c r="F123" i="1"/>
  <c r="J122" i="1"/>
  <c r="I122" i="1"/>
  <c r="H122" i="1"/>
  <c r="G122" i="1"/>
  <c r="F122" i="1"/>
  <c r="J121" i="1"/>
  <c r="H121" i="1"/>
  <c r="F121" i="1"/>
  <c r="F128" i="1" s="1"/>
  <c r="L118" i="1"/>
  <c r="M118" i="1" s="1"/>
  <c r="N118" i="1" s="1"/>
  <c r="O118" i="1" s="1"/>
  <c r="P118" i="1" s="1"/>
  <c r="Q118" i="1" s="1"/>
  <c r="R118" i="1" s="1"/>
  <c r="S118" i="1" s="1"/>
  <c r="T118" i="1" s="1"/>
  <c r="U118" i="1" s="1"/>
  <c r="I117" i="1"/>
  <c r="F117" i="1"/>
  <c r="AE115" i="1"/>
  <c r="K115" i="1"/>
  <c r="L115" i="1" s="1"/>
  <c r="M115" i="1" s="1"/>
  <c r="N115" i="1" s="1"/>
  <c r="O115" i="1" s="1"/>
  <c r="P115" i="1" s="1"/>
  <c r="Q115" i="1" s="1"/>
  <c r="R115" i="1" s="1"/>
  <c r="S115" i="1" s="1"/>
  <c r="T115" i="1" s="1"/>
  <c r="U115" i="1" s="1"/>
  <c r="L114" i="1"/>
  <c r="M114" i="1" s="1"/>
  <c r="N114" i="1" s="1"/>
  <c r="O114" i="1" s="1"/>
  <c r="P114" i="1" s="1"/>
  <c r="Q114" i="1" s="1"/>
  <c r="R114" i="1" s="1"/>
  <c r="S114" i="1" s="1"/>
  <c r="T114" i="1" s="1"/>
  <c r="U114" i="1" s="1"/>
  <c r="L113" i="1"/>
  <c r="M113" i="1" s="1"/>
  <c r="N113" i="1" s="1"/>
  <c r="O113" i="1" s="1"/>
  <c r="P113" i="1" s="1"/>
  <c r="Q113" i="1" s="1"/>
  <c r="R113" i="1" s="1"/>
  <c r="S113" i="1" s="1"/>
  <c r="T113" i="1" s="1"/>
  <c r="U113" i="1" s="1"/>
  <c r="L112" i="1"/>
  <c r="M112" i="1" s="1"/>
  <c r="N112" i="1" s="1"/>
  <c r="O112" i="1" s="1"/>
  <c r="P112" i="1" s="1"/>
  <c r="Q112" i="1" s="1"/>
  <c r="R112" i="1" s="1"/>
  <c r="S112" i="1" s="1"/>
  <c r="T112" i="1" s="1"/>
  <c r="U112" i="1" s="1"/>
  <c r="L111" i="1"/>
  <c r="M111" i="1" s="1"/>
  <c r="N111" i="1" s="1"/>
  <c r="O111" i="1" s="1"/>
  <c r="P111" i="1" s="1"/>
  <c r="Q111" i="1" s="1"/>
  <c r="R111" i="1" s="1"/>
  <c r="S111" i="1" s="1"/>
  <c r="T111" i="1" s="1"/>
  <c r="U111" i="1" s="1"/>
  <c r="L110" i="1"/>
  <c r="M110" i="1" s="1"/>
  <c r="N110" i="1" s="1"/>
  <c r="O110" i="1" s="1"/>
  <c r="P110" i="1" s="1"/>
  <c r="Q110" i="1" s="1"/>
  <c r="R110" i="1" s="1"/>
  <c r="S110" i="1" s="1"/>
  <c r="T110" i="1" s="1"/>
  <c r="U110" i="1" s="1"/>
  <c r="AE109" i="1"/>
  <c r="AE103" i="1" s="1"/>
  <c r="AE167" i="1" s="1"/>
  <c r="AE196" i="1" s="1"/>
  <c r="AD109" i="1"/>
  <c r="AC109" i="1"/>
  <c r="AB109" i="1"/>
  <c r="AB103" i="1" s="1"/>
  <c r="AB167" i="1" s="1"/>
  <c r="AA109" i="1"/>
  <c r="AA103" i="1" s="1"/>
  <c r="AA167" i="1" s="1"/>
  <c r="K109" i="1"/>
  <c r="K103" i="1" s="1"/>
  <c r="J109" i="1"/>
  <c r="J103" i="1" s="1"/>
  <c r="J167" i="1" s="1"/>
  <c r="J196" i="1" s="1"/>
  <c r="I109" i="1"/>
  <c r="L107" i="1"/>
  <c r="M107" i="1" s="1"/>
  <c r="N107" i="1" s="1"/>
  <c r="O107" i="1" s="1"/>
  <c r="P107" i="1" s="1"/>
  <c r="Q107" i="1" s="1"/>
  <c r="R107" i="1" s="1"/>
  <c r="S107" i="1" s="1"/>
  <c r="T107" i="1" s="1"/>
  <c r="U107" i="1" s="1"/>
  <c r="AD103" i="1"/>
  <c r="AC103" i="1"/>
  <c r="AC167" i="1" s="1"/>
  <c r="Z103" i="1"/>
  <c r="Y103" i="1"/>
  <c r="Y167" i="1" s="1"/>
  <c r="X103" i="1"/>
  <c r="X167" i="1" s="1"/>
  <c r="I103" i="1"/>
  <c r="I167" i="1" s="1"/>
  <c r="H103" i="1"/>
  <c r="H167" i="1" s="1"/>
  <c r="G103" i="1"/>
  <c r="G167" i="1" s="1"/>
  <c r="F103" i="1"/>
  <c r="AE90" i="1"/>
  <c r="AC90" i="1"/>
  <c r="AA90" i="1"/>
  <c r="Y90" i="1"/>
  <c r="AE84" i="1"/>
  <c r="AC84" i="1"/>
  <c r="AA84" i="1"/>
  <c r="Y84" i="1"/>
  <c r="I80" i="1"/>
  <c r="H80" i="1"/>
  <c r="G80" i="1"/>
  <c r="F80" i="1"/>
  <c r="I79" i="1"/>
  <c r="H79" i="1"/>
  <c r="G79" i="1"/>
  <c r="J78" i="1"/>
  <c r="J80" i="1" s="1"/>
  <c r="AE76" i="1"/>
  <c r="AC76" i="1"/>
  <c r="AA76" i="1"/>
  <c r="Y76" i="1"/>
  <c r="AE74" i="1"/>
  <c r="AC74" i="1"/>
  <c r="AA74" i="1"/>
  <c r="Y74" i="1"/>
  <c r="AD72" i="1"/>
  <c r="AB72" i="1"/>
  <c r="AB217" i="1" s="1"/>
  <c r="Y72" i="1"/>
  <c r="K72" i="1"/>
  <c r="J72" i="1"/>
  <c r="J217" i="1" s="1"/>
  <c r="I72" i="1"/>
  <c r="J70" i="1"/>
  <c r="I70" i="1"/>
  <c r="H70" i="1"/>
  <c r="G70" i="1"/>
  <c r="F70" i="1"/>
  <c r="J69" i="1"/>
  <c r="I69" i="1"/>
  <c r="H69" i="1"/>
  <c r="G69" i="1"/>
  <c r="F69" i="1"/>
  <c r="K68" i="1"/>
  <c r="J67" i="1"/>
  <c r="I67" i="1"/>
  <c r="H67" i="1"/>
  <c r="G67" i="1"/>
  <c r="K66" i="1"/>
  <c r="K217" i="1" s="1"/>
  <c r="AE65" i="1"/>
  <c r="AC65" i="1"/>
  <c r="AA65" i="1"/>
  <c r="Y65" i="1"/>
  <c r="X62" i="1"/>
  <c r="X82" i="1" s="1"/>
  <c r="X85" i="1" s="1"/>
  <c r="AD56" i="1"/>
  <c r="AB56" i="1"/>
  <c r="Y56" i="1"/>
  <c r="X56" i="1"/>
  <c r="L56" i="1"/>
  <c r="M56" i="1" s="1"/>
  <c r="N56" i="1" s="1"/>
  <c r="J56" i="1"/>
  <c r="H56" i="1"/>
  <c r="G56" i="1"/>
  <c r="F56" i="1"/>
  <c r="AD55" i="1"/>
  <c r="AB55" i="1"/>
  <c r="Z55" i="1"/>
  <c r="X55" i="1"/>
  <c r="K55" i="1"/>
  <c r="J55" i="1"/>
  <c r="I55" i="1"/>
  <c r="H55" i="1"/>
  <c r="G55" i="1"/>
  <c r="F55" i="1"/>
  <c r="AD54" i="1"/>
  <c r="AB54" i="1"/>
  <c r="Z54" i="1"/>
  <c r="X54" i="1"/>
  <c r="J54" i="1"/>
  <c r="I54" i="1"/>
  <c r="H54" i="1"/>
  <c r="G54" i="1"/>
  <c r="F54" i="1"/>
  <c r="AD53" i="1"/>
  <c r="AB53" i="1"/>
  <c r="Z53" i="1"/>
  <c r="X53" i="1"/>
  <c r="J53" i="1"/>
  <c r="K53" i="1" s="1"/>
  <c r="L53" i="1" s="1"/>
  <c r="I53" i="1"/>
  <c r="H53" i="1"/>
  <c r="G53" i="1"/>
  <c r="F53" i="1"/>
  <c r="AD52" i="1"/>
  <c r="AB52" i="1"/>
  <c r="Z52" i="1"/>
  <c r="X52" i="1"/>
  <c r="J52" i="1"/>
  <c r="I52" i="1"/>
  <c r="H52" i="1"/>
  <c r="G52" i="1"/>
  <c r="F52" i="1"/>
  <c r="AD51" i="1"/>
  <c r="AB51" i="1"/>
  <c r="Z51" i="1"/>
  <c r="X51" i="1"/>
  <c r="K51" i="1"/>
  <c r="J51" i="1"/>
  <c r="I51" i="1"/>
  <c r="H51" i="1"/>
  <c r="G51" i="1"/>
  <c r="F51" i="1"/>
  <c r="AE48" i="1"/>
  <c r="AC48" i="1"/>
  <c r="Z48" i="1"/>
  <c r="Z35" i="1" s="1"/>
  <c r="Z36" i="1" s="1"/>
  <c r="Y48" i="1"/>
  <c r="I48" i="1"/>
  <c r="K47" i="1"/>
  <c r="L47" i="1" s="1"/>
  <c r="L46" i="1" s="1"/>
  <c r="J47" i="1"/>
  <c r="I47" i="1"/>
  <c r="H47" i="1"/>
  <c r="AE46" i="1"/>
  <c r="AC46" i="1"/>
  <c r="AA46" i="1"/>
  <c r="Y46" i="1"/>
  <c r="AE45" i="1"/>
  <c r="AC45" i="1"/>
  <c r="AA45" i="1"/>
  <c r="Y45" i="1"/>
  <c r="AE44" i="1"/>
  <c r="AE35" i="1" s="1"/>
  <c r="AC44" i="1"/>
  <c r="AC53" i="1" s="1"/>
  <c r="AA44" i="1"/>
  <c r="Y44" i="1"/>
  <c r="AE42" i="1"/>
  <c r="AC42" i="1"/>
  <c r="AC43" i="1" s="1"/>
  <c r="AA42" i="1"/>
  <c r="Y42" i="1"/>
  <c r="Y52" i="1" s="1"/>
  <c r="AD40" i="1"/>
  <c r="J40" i="1"/>
  <c r="I40" i="1"/>
  <c r="AC39" i="1"/>
  <c r="AB39" i="1"/>
  <c r="AA39" i="1"/>
  <c r="J39" i="1"/>
  <c r="I39" i="1"/>
  <c r="AE37" i="1"/>
  <c r="AC37" i="1"/>
  <c r="AC40" i="1" s="1"/>
  <c r="AA37" i="1"/>
  <c r="Y37" i="1"/>
  <c r="AD35" i="1"/>
  <c r="AD62" i="1" s="1"/>
  <c r="AB35" i="1"/>
  <c r="X35" i="1"/>
  <c r="K35" i="1"/>
  <c r="J35" i="1"/>
  <c r="H35" i="1"/>
  <c r="G35" i="1"/>
  <c r="F35" i="1"/>
  <c r="G36" i="1" s="1"/>
  <c r="AD33" i="1"/>
  <c r="AD32" i="1"/>
  <c r="AB32" i="1"/>
  <c r="AB62" i="1" s="1"/>
  <c r="AB63" i="1" s="1"/>
  <c r="Z32" i="1"/>
  <c r="X32" i="1"/>
  <c r="X33" i="1" s="1"/>
  <c r="K32" i="1"/>
  <c r="K62" i="1" s="1"/>
  <c r="K82" i="1" s="1"/>
  <c r="J32" i="1"/>
  <c r="J33" i="1" s="1"/>
  <c r="I32" i="1"/>
  <c r="H32" i="1"/>
  <c r="G32" i="1"/>
  <c r="G33" i="1" s="1"/>
  <c r="F32" i="1"/>
  <c r="F33" i="1" s="1"/>
  <c r="Y30" i="1"/>
  <c r="Y29" i="1"/>
  <c r="Z28" i="1"/>
  <c r="X28" i="1"/>
  <c r="H28" i="1"/>
  <c r="G28" i="1"/>
  <c r="F28" i="1"/>
  <c r="Y27" i="1"/>
  <c r="AE25" i="1"/>
  <c r="AC25" i="1"/>
  <c r="AA25" i="1"/>
  <c r="AA32" i="1" s="1"/>
  <c r="Y25" i="1"/>
  <c r="Y28" i="1" s="1"/>
  <c r="AD23" i="1"/>
  <c r="AB23" i="1"/>
  <c r="Z23" i="1"/>
  <c r="X23" i="1"/>
  <c r="K23" i="1"/>
  <c r="J23" i="1"/>
  <c r="I23" i="1"/>
  <c r="H23" i="1"/>
  <c r="G23" i="1"/>
  <c r="F23" i="1"/>
  <c r="AD22" i="1"/>
  <c r="AB22" i="1"/>
  <c r="AA22" i="1"/>
  <c r="Z22" i="1"/>
  <c r="X22" i="1"/>
  <c r="K22" i="1"/>
  <c r="J22" i="1"/>
  <c r="I22" i="1"/>
  <c r="H22" i="1"/>
  <c r="G22" i="1"/>
  <c r="F22" i="1"/>
  <c r="AD21" i="1"/>
  <c r="AB21" i="1"/>
  <c r="AA21" i="1"/>
  <c r="Z21" i="1"/>
  <c r="X21" i="1"/>
  <c r="K21" i="1"/>
  <c r="J21" i="1"/>
  <c r="I21" i="1"/>
  <c r="H21" i="1"/>
  <c r="G21" i="1"/>
  <c r="F21" i="1"/>
  <c r="AD20" i="1"/>
  <c r="AB20" i="1"/>
  <c r="Z20" i="1"/>
  <c r="X20" i="1"/>
  <c r="K20" i="1"/>
  <c r="J20" i="1"/>
  <c r="I20" i="1"/>
  <c r="H20" i="1"/>
  <c r="G20" i="1"/>
  <c r="F20" i="1"/>
  <c r="AD19" i="1"/>
  <c r="AB19" i="1"/>
  <c r="Z19" i="1"/>
  <c r="X19" i="1"/>
  <c r="K19" i="1"/>
  <c r="J19" i="1"/>
  <c r="I19" i="1"/>
  <c r="H19" i="1"/>
  <c r="G19" i="1"/>
  <c r="F19" i="1"/>
  <c r="AE16" i="1"/>
  <c r="AC16" i="1"/>
  <c r="AA16" i="1"/>
  <c r="Y16" i="1"/>
  <c r="AD15" i="1"/>
  <c r="AB15" i="1"/>
  <c r="Z15" i="1"/>
  <c r="K15" i="1"/>
  <c r="J15" i="1"/>
  <c r="I15" i="1"/>
  <c r="H15" i="1"/>
  <c r="G15" i="1"/>
  <c r="AE14" i="1"/>
  <c r="AC14" i="1"/>
  <c r="AC15" i="1" s="1"/>
  <c r="AA14" i="1"/>
  <c r="Y14" i="1"/>
  <c r="Y22" i="1" s="1"/>
  <c r="L14" i="1"/>
  <c r="AD13" i="1"/>
  <c r="AB13" i="1"/>
  <c r="Z13" i="1"/>
  <c r="K13" i="1"/>
  <c r="J13" i="1"/>
  <c r="I13" i="1"/>
  <c r="H13" i="1"/>
  <c r="G13" i="1"/>
  <c r="AE12" i="1"/>
  <c r="AC12" i="1"/>
  <c r="AE13" i="1" s="1"/>
  <c r="AA12" i="1"/>
  <c r="Y12" i="1"/>
  <c r="Y21" i="1" s="1"/>
  <c r="L12" i="1"/>
  <c r="AE11" i="1"/>
  <c r="AD11" i="1"/>
  <c r="AB11" i="1"/>
  <c r="Z11" i="1"/>
  <c r="K11" i="1"/>
  <c r="AE10" i="1"/>
  <c r="AC10" i="1"/>
  <c r="AA10" i="1"/>
  <c r="Y10" i="1"/>
  <c r="L10" i="1"/>
  <c r="AD9" i="1"/>
  <c r="AB9" i="1"/>
  <c r="Z9" i="1"/>
  <c r="K9" i="1"/>
  <c r="J9" i="1"/>
  <c r="I9" i="1"/>
  <c r="H9" i="1"/>
  <c r="G9" i="1"/>
  <c r="AE8" i="1"/>
  <c r="AE9" i="1" s="1"/>
  <c r="AC8" i="1"/>
  <c r="AC9" i="1" s="1"/>
  <c r="AA8" i="1"/>
  <c r="AA9" i="1" s="1"/>
  <c r="Y8" i="1"/>
  <c r="Y19" i="1" s="1"/>
  <c r="AD6" i="1"/>
  <c r="AB6" i="1"/>
  <c r="AA6" i="1"/>
  <c r="Z6" i="1"/>
  <c r="K6" i="1"/>
  <c r="J6" i="1"/>
  <c r="I6" i="1"/>
  <c r="H6" i="1"/>
  <c r="G6" i="1"/>
  <c r="AE5" i="1"/>
  <c r="AE32" i="1" s="1"/>
  <c r="AE33" i="1" s="1"/>
  <c r="AC5" i="1"/>
  <c r="AA5" i="1"/>
  <c r="Y5" i="1"/>
  <c r="AD63" i="1" l="1"/>
  <c r="AD82" i="1"/>
  <c r="I139" i="1"/>
  <c r="I138" i="1"/>
  <c r="AA383" i="1"/>
  <c r="K471" i="1"/>
  <c r="I121" i="1"/>
  <c r="AA48" i="1"/>
  <c r="G329" i="1"/>
  <c r="I260" i="1"/>
  <c r="K278" i="1"/>
  <c r="G317" i="1"/>
  <c r="AB338" i="1"/>
  <c r="AE354" i="1"/>
  <c r="K455" i="1"/>
  <c r="AA11" i="1"/>
  <c r="AA19" i="1"/>
  <c r="H36" i="1"/>
  <c r="Y54" i="1"/>
  <c r="G62" i="1"/>
  <c r="L109" i="1"/>
  <c r="M109" i="1" s="1"/>
  <c r="N109" i="1" s="1"/>
  <c r="O109" i="1" s="1"/>
  <c r="P109" i="1" s="1"/>
  <c r="Q109" i="1" s="1"/>
  <c r="R109" i="1" s="1"/>
  <c r="S109" i="1" s="1"/>
  <c r="T109" i="1" s="1"/>
  <c r="U109" i="1" s="1"/>
  <c r="Y232" i="1"/>
  <c r="H279" i="1"/>
  <c r="G310" i="1"/>
  <c r="G326" i="1" s="1"/>
  <c r="H317" i="1"/>
  <c r="I320" i="1"/>
  <c r="AC347" i="1"/>
  <c r="AD352" i="1"/>
  <c r="G370" i="1"/>
  <c r="AE351" i="1"/>
  <c r="J385" i="1"/>
  <c r="J387" i="1" s="1"/>
  <c r="J127" i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H236" i="1"/>
  <c r="G269" i="1"/>
  <c r="G319" i="1"/>
  <c r="AD338" i="1"/>
  <c r="F341" i="1"/>
  <c r="AB345" i="1"/>
  <c r="AD347" i="1"/>
  <c r="AE36" i="1"/>
  <c r="I132" i="1"/>
  <c r="AB200" i="1"/>
  <c r="K310" i="1"/>
  <c r="K298" i="1" s="1"/>
  <c r="AE338" i="1"/>
  <c r="G341" i="1"/>
  <c r="J346" i="1"/>
  <c r="I468" i="1"/>
  <c r="I430" i="1"/>
  <c r="I424" i="1" s="1"/>
  <c r="F62" i="1"/>
  <c r="Y196" i="1"/>
  <c r="I196" i="1"/>
  <c r="AA228" i="1"/>
  <c r="AA20" i="1"/>
  <c r="K36" i="1"/>
  <c r="J41" i="1"/>
  <c r="I124" i="1"/>
  <c r="J139" i="1"/>
  <c r="I200" i="1"/>
  <c r="I216" i="1" s="1"/>
  <c r="G258" i="1"/>
  <c r="K279" i="1"/>
  <c r="X310" i="1"/>
  <c r="G318" i="1"/>
  <c r="J353" i="1"/>
  <c r="Y398" i="1"/>
  <c r="J430" i="1"/>
  <c r="J424" i="1" s="1"/>
  <c r="H430" i="1"/>
  <c r="AA375" i="1"/>
  <c r="Z187" i="1"/>
  <c r="H200" i="1"/>
  <c r="Y23" i="1"/>
  <c r="H62" i="1"/>
  <c r="K33" i="1"/>
  <c r="K38" i="1"/>
  <c r="K40" i="1"/>
  <c r="L40" i="1" s="1"/>
  <c r="M40" i="1" s="1"/>
  <c r="N40" i="1" s="1"/>
  <c r="O40" i="1" s="1"/>
  <c r="P40" i="1" s="1"/>
  <c r="Y55" i="1"/>
  <c r="AE72" i="1"/>
  <c r="J124" i="1"/>
  <c r="J125" i="1" s="1"/>
  <c r="K125" i="1" s="1"/>
  <c r="Y246" i="1"/>
  <c r="F330" i="1"/>
  <c r="AB344" i="1"/>
  <c r="I277" i="1"/>
  <c r="AD310" i="1"/>
  <c r="AD316" i="1" s="1"/>
  <c r="AA313" i="1"/>
  <c r="AA301" i="1" s="1"/>
  <c r="AA353" i="1"/>
  <c r="H372" i="1"/>
  <c r="F396" i="1"/>
  <c r="AC35" i="1"/>
  <c r="AD167" i="1"/>
  <c r="J200" i="1"/>
  <c r="AC55" i="1"/>
  <c r="AA23" i="1"/>
  <c r="AB36" i="1"/>
  <c r="AA53" i="1"/>
  <c r="F124" i="1"/>
  <c r="F125" i="1" s="1"/>
  <c r="J138" i="1"/>
  <c r="K138" i="1" s="1"/>
  <c r="L138" i="1" s="1"/>
  <c r="M138" i="1" s="1"/>
  <c r="N138" i="1" s="1"/>
  <c r="O138" i="1" s="1"/>
  <c r="P138" i="1" s="1"/>
  <c r="Q138" i="1" s="1"/>
  <c r="R138" i="1" s="1"/>
  <c r="S138" i="1" s="1"/>
  <c r="T138" i="1" s="1"/>
  <c r="U138" i="1" s="1"/>
  <c r="F139" i="1"/>
  <c r="AE200" i="1"/>
  <c r="AB231" i="1"/>
  <c r="AB236" i="1" s="1"/>
  <c r="Y238" i="1"/>
  <c r="K277" i="1"/>
  <c r="K296" i="1"/>
  <c r="J335" i="1"/>
  <c r="J366" i="1" s="1"/>
  <c r="AC346" i="1"/>
  <c r="Z372" i="1"/>
  <c r="H449" i="1"/>
  <c r="AA33" i="1"/>
  <c r="AA236" i="1"/>
  <c r="K87" i="1"/>
  <c r="K85" i="1"/>
  <c r="M53" i="1"/>
  <c r="M46" i="1"/>
  <c r="K147" i="1"/>
  <c r="K215" i="1" s="1"/>
  <c r="I62" i="1"/>
  <c r="F131" i="1"/>
  <c r="F130" i="1"/>
  <c r="G121" i="1"/>
  <c r="AA187" i="1"/>
  <c r="AA196" i="1" s="1"/>
  <c r="AE19" i="1"/>
  <c r="H63" i="1"/>
  <c r="H59" i="1"/>
  <c r="H60" i="1" s="1"/>
  <c r="H82" i="1"/>
  <c r="AC51" i="1"/>
  <c r="AE54" i="1"/>
  <c r="I217" i="1"/>
  <c r="AA72" i="1"/>
  <c r="AA217" i="1" s="1"/>
  <c r="X87" i="1"/>
  <c r="K167" i="1"/>
  <c r="G132" i="1"/>
  <c r="J154" i="1"/>
  <c r="AD205" i="1"/>
  <c r="AD200" i="1" s="1"/>
  <c r="AD169" i="1"/>
  <c r="AD187" i="1" s="1"/>
  <c r="H216" i="1"/>
  <c r="J276" i="1"/>
  <c r="J411" i="1"/>
  <c r="J296" i="1"/>
  <c r="K269" i="1"/>
  <c r="J269" i="1"/>
  <c r="J278" i="1"/>
  <c r="J277" i="1"/>
  <c r="AE56" i="1"/>
  <c r="AD87" i="1"/>
  <c r="AD85" i="1"/>
  <c r="L125" i="1"/>
  <c r="M300" i="1"/>
  <c r="H330" i="1"/>
  <c r="Y312" i="1"/>
  <c r="H318" i="1"/>
  <c r="H340" i="1"/>
  <c r="G139" i="1"/>
  <c r="G141" i="1" s="1"/>
  <c r="J241" i="1"/>
  <c r="J243" i="1" s="1"/>
  <c r="I243" i="1"/>
  <c r="J36" i="1"/>
  <c r="K228" i="1"/>
  <c r="AA246" i="1"/>
  <c r="AD296" i="1"/>
  <c r="AD269" i="1"/>
  <c r="AD39" i="1"/>
  <c r="L281" i="1"/>
  <c r="K117" i="1"/>
  <c r="L117" i="1" s="1"/>
  <c r="AC6" i="1"/>
  <c r="AC23" i="1"/>
  <c r="AC22" i="1"/>
  <c r="AC21" i="1"/>
  <c r="AC19" i="1"/>
  <c r="Z33" i="1"/>
  <c r="Z62" i="1"/>
  <c r="AE51" i="1"/>
  <c r="AC52" i="1"/>
  <c r="O56" i="1"/>
  <c r="M14" i="1"/>
  <c r="AC11" i="1"/>
  <c r="AC20" i="1"/>
  <c r="AE52" i="1"/>
  <c r="F187" i="1"/>
  <c r="M12" i="1"/>
  <c r="AE22" i="1"/>
  <c r="AD36" i="1"/>
  <c r="AA54" i="1"/>
  <c r="AE62" i="1"/>
  <c r="AC72" i="1"/>
  <c r="AC217" i="1" s="1"/>
  <c r="H127" i="1"/>
  <c r="H128" i="1"/>
  <c r="H130" i="1" s="1"/>
  <c r="M136" i="1"/>
  <c r="I141" i="1"/>
  <c r="Z216" i="1"/>
  <c r="AC238" i="1"/>
  <c r="AD217" i="1"/>
  <c r="Z243" i="1"/>
  <c r="AC246" i="1"/>
  <c r="I329" i="1"/>
  <c r="I258" i="1"/>
  <c r="M10" i="1"/>
  <c r="AE23" i="1"/>
  <c r="K63" i="1"/>
  <c r="AB33" i="1"/>
  <c r="AE6" i="1"/>
  <c r="AC32" i="1"/>
  <c r="AA13" i="1"/>
  <c r="AE53" i="1"/>
  <c r="F63" i="1"/>
  <c r="X63" i="1"/>
  <c r="I128" i="1"/>
  <c r="I130" i="1" s="1"/>
  <c r="I127" i="1"/>
  <c r="J141" i="1"/>
  <c r="K205" i="1"/>
  <c r="K200" i="1" s="1"/>
  <c r="K169" i="1"/>
  <c r="K187" i="1" s="1"/>
  <c r="AC243" i="1"/>
  <c r="K257" i="1"/>
  <c r="J329" i="1"/>
  <c r="J258" i="1"/>
  <c r="J62" i="1"/>
  <c r="AE55" i="1"/>
  <c r="AA15" i="1"/>
  <c r="AE20" i="1"/>
  <c r="H33" i="1"/>
  <c r="Y35" i="1"/>
  <c r="Y51" i="1"/>
  <c r="AA56" i="1"/>
  <c r="X196" i="1"/>
  <c r="Y53" i="1"/>
  <c r="Y32" i="1"/>
  <c r="AE21" i="1"/>
  <c r="AC13" i="1"/>
  <c r="AE15" i="1"/>
  <c r="Y20" i="1"/>
  <c r="I33" i="1"/>
  <c r="AA51" i="1"/>
  <c r="AA52" i="1"/>
  <c r="AA55" i="1"/>
  <c r="AA35" i="1"/>
  <c r="AA36" i="1" s="1"/>
  <c r="I56" i="1"/>
  <c r="I35" i="1"/>
  <c r="I36" i="1" s="1"/>
  <c r="AC56" i="1"/>
  <c r="G63" i="1"/>
  <c r="AB82" i="1"/>
  <c r="J128" i="1"/>
  <c r="J130" i="1" s="1"/>
  <c r="AC187" i="1"/>
  <c r="AC196" i="1" s="1"/>
  <c r="G200" i="1"/>
  <c r="AA200" i="1"/>
  <c r="AA216" i="1" s="1"/>
  <c r="AC205" i="1"/>
  <c r="AC200" i="1" s="1"/>
  <c r="I236" i="1"/>
  <c r="K259" i="1"/>
  <c r="J330" i="1"/>
  <c r="J260" i="1"/>
  <c r="AE269" i="1"/>
  <c r="H139" i="1"/>
  <c r="H141" i="1" s="1"/>
  <c r="H138" i="1"/>
  <c r="F200" i="1"/>
  <c r="H258" i="1"/>
  <c r="H329" i="1"/>
  <c r="H296" i="1"/>
  <c r="H278" i="1"/>
  <c r="H269" i="1"/>
  <c r="H276" i="1"/>
  <c r="AB269" i="1"/>
  <c r="Z352" i="1"/>
  <c r="Z346" i="1"/>
  <c r="I340" i="1"/>
  <c r="AC383" i="1"/>
  <c r="L340" i="1"/>
  <c r="AC319" i="1"/>
  <c r="AC301" i="1"/>
  <c r="AC307" i="1" s="1"/>
  <c r="AC335" i="1"/>
  <c r="AD344" i="1"/>
  <c r="Z56" i="1"/>
  <c r="J79" i="1"/>
  <c r="K79" i="1" s="1"/>
  <c r="K126" i="1"/>
  <c r="K213" i="1" s="1"/>
  <c r="F141" i="1"/>
  <c r="AA238" i="1"/>
  <c r="AA243" i="1" s="1"/>
  <c r="M265" i="1"/>
  <c r="F167" i="1"/>
  <c r="H187" i="1"/>
  <c r="H196" i="1" s="1"/>
  <c r="L183" i="1"/>
  <c r="K180" i="1"/>
  <c r="G281" i="1"/>
  <c r="G283" i="1" s="1"/>
  <c r="F285" i="1"/>
  <c r="AA281" i="1"/>
  <c r="AA283" i="1" s="1"/>
  <c r="Z285" i="1"/>
  <c r="Z293" i="1" s="1"/>
  <c r="Z284" i="1"/>
  <c r="Z269" i="1"/>
  <c r="P287" i="1"/>
  <c r="AA40" i="1"/>
  <c r="AB40" i="1"/>
  <c r="Z167" i="1"/>
  <c r="Z196" i="1" s="1"/>
  <c r="J131" i="1"/>
  <c r="J132" i="1" s="1"/>
  <c r="N146" i="1"/>
  <c r="AB187" i="1"/>
  <c r="AB196" i="1" s="1"/>
  <c r="K231" i="1"/>
  <c r="AB243" i="1"/>
  <c r="G296" i="1"/>
  <c r="G279" i="1"/>
  <c r="G276" i="1"/>
  <c r="G278" i="1"/>
  <c r="AA344" i="1"/>
  <c r="AA296" i="1"/>
  <c r="AA269" i="1"/>
  <c r="F329" i="1"/>
  <c r="G352" i="1"/>
  <c r="G346" i="1"/>
  <c r="AB335" i="1"/>
  <c r="AB366" i="1" s="1"/>
  <c r="AB372" i="1" s="1"/>
  <c r="AB319" i="1"/>
  <c r="K326" i="1"/>
  <c r="AE314" i="1"/>
  <c r="K320" i="1"/>
  <c r="AC336" i="1"/>
  <c r="I326" i="1"/>
  <c r="K470" i="1"/>
  <c r="Q287" i="1"/>
  <c r="H310" i="1"/>
  <c r="H324" i="1" s="1"/>
  <c r="X351" i="1"/>
  <c r="X345" i="1"/>
  <c r="X338" i="1"/>
  <c r="I318" i="1"/>
  <c r="I330" i="1"/>
  <c r="AA312" i="1"/>
  <c r="AA300" i="1" s="1"/>
  <c r="AD335" i="1"/>
  <c r="AD366" i="1" s="1"/>
  <c r="AD319" i="1"/>
  <c r="F354" i="1"/>
  <c r="F348" i="1"/>
  <c r="R287" i="1"/>
  <c r="Z317" i="1"/>
  <c r="Z339" i="1"/>
  <c r="Z310" i="1"/>
  <c r="J318" i="1"/>
  <c r="J334" i="1"/>
  <c r="J365" i="1" s="1"/>
  <c r="AC312" i="1"/>
  <c r="AC300" i="1" s="1"/>
  <c r="AC306" i="1" s="1"/>
  <c r="AD334" i="1"/>
  <c r="AD365" i="1" s="1"/>
  <c r="AD371" i="1" s="1"/>
  <c r="AD318" i="1"/>
  <c r="G338" i="1"/>
  <c r="X353" i="1"/>
  <c r="X347" i="1"/>
  <c r="G348" i="1"/>
  <c r="G354" i="1"/>
  <c r="S287" i="1"/>
  <c r="AA311" i="1"/>
  <c r="K325" i="1"/>
  <c r="AD385" i="1"/>
  <c r="AD376" i="1"/>
  <c r="AD383" i="1"/>
  <c r="AD298" i="1"/>
  <c r="AA385" i="1"/>
  <c r="K443" i="1"/>
  <c r="K449" i="1" s="1"/>
  <c r="AB333" i="1"/>
  <c r="AB364" i="1" s="1"/>
  <c r="AB370" i="1" s="1"/>
  <c r="AB310" i="1"/>
  <c r="AC311" i="1"/>
  <c r="Z320" i="1"/>
  <c r="Z342" i="1"/>
  <c r="AD317" i="1"/>
  <c r="AE385" i="1"/>
  <c r="O287" i="1"/>
  <c r="M301" i="1"/>
  <c r="AD332" i="1"/>
  <c r="AD363" i="1" s="1"/>
  <c r="H319" i="1"/>
  <c r="Y313" i="1"/>
  <c r="H325" i="1"/>
  <c r="H341" i="1"/>
  <c r="AA314" i="1"/>
  <c r="AC320" i="1" s="1"/>
  <c r="I324" i="1"/>
  <c r="J342" i="1"/>
  <c r="AC348" i="1"/>
  <c r="Y375" i="1"/>
  <c r="AA376" i="1" s="1"/>
  <c r="Y399" i="1"/>
  <c r="G411" i="1"/>
  <c r="AC231" i="1"/>
  <c r="AC236" i="1" s="1"/>
  <c r="AC228" i="1"/>
  <c r="Z295" i="1"/>
  <c r="AB296" i="1"/>
  <c r="J310" i="1"/>
  <c r="J326" i="1" s="1"/>
  <c r="AB336" i="1"/>
  <c r="AB367" i="1" s="1"/>
  <c r="AB373" i="1" s="1"/>
  <c r="AB320" i="1"/>
  <c r="J324" i="1"/>
  <c r="AA335" i="1"/>
  <c r="AD354" i="1"/>
  <c r="AD348" i="1"/>
  <c r="K342" i="1"/>
  <c r="K336" i="1" s="1"/>
  <c r="K367" i="1" s="1"/>
  <c r="K346" i="1"/>
  <c r="G371" i="1"/>
  <c r="H371" i="1"/>
  <c r="O383" i="1"/>
  <c r="K323" i="1"/>
  <c r="K317" i="1"/>
  <c r="F352" i="1"/>
  <c r="F346" i="1"/>
  <c r="X348" i="1"/>
  <c r="X354" i="1"/>
  <c r="K347" i="1"/>
  <c r="K353" i="1"/>
  <c r="I390" i="1"/>
  <c r="I385" i="1"/>
  <c r="I383" i="1"/>
  <c r="J376" i="1"/>
  <c r="I376" i="1"/>
  <c r="K387" i="1"/>
  <c r="K386" i="1"/>
  <c r="G430" i="1"/>
  <c r="G424" i="1" s="1"/>
  <c r="AA352" i="1"/>
  <c r="AC354" i="1"/>
  <c r="AE383" i="1"/>
  <c r="K430" i="1"/>
  <c r="K419" i="1"/>
  <c r="G449" i="1"/>
  <c r="Y311" i="1"/>
  <c r="H339" i="1"/>
  <c r="K334" i="1"/>
  <c r="K365" i="1" s="1"/>
  <c r="K324" i="1"/>
  <c r="K318" i="1"/>
  <c r="AE312" i="1"/>
  <c r="I325" i="1"/>
  <c r="AD336" i="1"/>
  <c r="AD367" i="1" s="1"/>
  <c r="AD373" i="1" s="1"/>
  <c r="Z318" i="1"/>
  <c r="AE344" i="1"/>
  <c r="X352" i="1"/>
  <c r="X346" i="1"/>
  <c r="AD353" i="1"/>
  <c r="AC352" i="1"/>
  <c r="G468" i="1"/>
  <c r="I323" i="1"/>
  <c r="Y314" i="1"/>
  <c r="H342" i="1"/>
  <c r="J320" i="1"/>
  <c r="AD320" i="1"/>
  <c r="F351" i="1"/>
  <c r="F345" i="1"/>
  <c r="J339" i="1"/>
  <c r="J333" i="1" s="1"/>
  <c r="J364" i="1" s="1"/>
  <c r="AC345" i="1"/>
  <c r="G353" i="1"/>
  <c r="G347" i="1"/>
  <c r="H373" i="1"/>
  <c r="X383" i="1"/>
  <c r="X298" i="1"/>
  <c r="Z376" i="1"/>
  <c r="AB386" i="1"/>
  <c r="M302" i="1"/>
  <c r="AC302" i="1"/>
  <c r="J323" i="1"/>
  <c r="AE311" i="1"/>
  <c r="K335" i="1"/>
  <c r="K366" i="1" s="1"/>
  <c r="AE313" i="1"/>
  <c r="I341" i="1"/>
  <c r="Z353" i="1"/>
  <c r="Z347" i="1"/>
  <c r="AB318" i="1"/>
  <c r="K339" i="1"/>
  <c r="K333" i="1" s="1"/>
  <c r="K364" i="1" s="1"/>
  <c r="AD345" i="1"/>
  <c r="AD351" i="1"/>
  <c r="AC375" i="1"/>
  <c r="AC351" i="1"/>
  <c r="X396" i="1"/>
  <c r="H411" i="1"/>
  <c r="G351" i="1"/>
  <c r="AC353" i="1"/>
  <c r="G385" i="1"/>
  <c r="G383" i="1"/>
  <c r="G396" i="1"/>
  <c r="AA351" i="1"/>
  <c r="G330" i="1"/>
  <c r="Z373" i="1"/>
  <c r="Z385" i="1"/>
  <c r="Z383" i="1"/>
  <c r="AB376" i="1"/>
  <c r="K411" i="1"/>
  <c r="I455" i="1"/>
  <c r="I449" i="1" s="1"/>
  <c r="M299" i="1"/>
  <c r="G320" i="1"/>
  <c r="J455" i="1"/>
  <c r="J449" i="1" s="1"/>
  <c r="H385" i="1"/>
  <c r="H383" i="1"/>
  <c r="Y397" i="1"/>
  <c r="Y390" i="1"/>
  <c r="H424" i="1"/>
  <c r="H468" i="1"/>
  <c r="AA347" i="1"/>
  <c r="AB347" i="1"/>
  <c r="F196" i="1" l="1"/>
  <c r="G323" i="1"/>
  <c r="F82" i="1"/>
  <c r="F59" i="1"/>
  <c r="F60" i="1" s="1"/>
  <c r="G82" i="1"/>
  <c r="G59" i="1"/>
  <c r="G60" i="1" s="1"/>
  <c r="J216" i="1"/>
  <c r="K137" i="1"/>
  <c r="G325" i="1"/>
  <c r="AD196" i="1"/>
  <c r="G298" i="1"/>
  <c r="G304" i="1" s="1"/>
  <c r="F347" i="1"/>
  <c r="F353" i="1"/>
  <c r="G316" i="1"/>
  <c r="G324" i="1"/>
  <c r="Y383" i="1"/>
  <c r="AD372" i="1"/>
  <c r="AC216" i="1"/>
  <c r="F338" i="1"/>
  <c r="AD216" i="1"/>
  <c r="I353" i="1"/>
  <c r="I347" i="1"/>
  <c r="G344" i="1"/>
  <c r="G332" i="1"/>
  <c r="G363" i="1" s="1"/>
  <c r="AC376" i="1"/>
  <c r="AC385" i="1"/>
  <c r="Y342" i="1"/>
  <c r="H354" i="1"/>
  <c r="H348" i="1"/>
  <c r="AB316" i="1"/>
  <c r="AB332" i="1"/>
  <c r="AB363" i="1" s="1"/>
  <c r="AB298" i="1"/>
  <c r="N10" i="1"/>
  <c r="N12" i="1"/>
  <c r="H346" i="1"/>
  <c r="Y340" i="1"/>
  <c r="H352" i="1"/>
  <c r="G350" i="1"/>
  <c r="J338" i="1"/>
  <c r="J351" i="1"/>
  <c r="J345" i="1"/>
  <c r="Y310" i="1"/>
  <c r="Y299" i="1"/>
  <c r="I386" i="1"/>
  <c r="J386" i="1"/>
  <c r="I387" i="1"/>
  <c r="H353" i="1"/>
  <c r="H347" i="1"/>
  <c r="Y341" i="1"/>
  <c r="AE376" i="1"/>
  <c r="I339" i="1"/>
  <c r="Z338" i="1"/>
  <c r="Z344" i="1" s="1"/>
  <c r="Z345" i="1"/>
  <c r="Z351" i="1"/>
  <c r="AE336" i="1"/>
  <c r="AE320" i="1"/>
  <c r="K316" i="1"/>
  <c r="G216" i="1"/>
  <c r="Z63" i="1"/>
  <c r="Z82" i="1"/>
  <c r="AB216" i="1"/>
  <c r="X91" i="1"/>
  <c r="X89" i="1"/>
  <c r="X212" i="1"/>
  <c r="X88" i="1"/>
  <c r="AE82" i="1"/>
  <c r="AE63" i="1"/>
  <c r="AD284" i="1"/>
  <c r="AE281" i="1"/>
  <c r="AD285" i="1"/>
  <c r="AD43" i="1"/>
  <c r="N300" i="1"/>
  <c r="AD88" i="1"/>
  <c r="AD212" i="1"/>
  <c r="AD89" i="1"/>
  <c r="AD91" i="1"/>
  <c r="H85" i="1"/>
  <c r="H87" i="1"/>
  <c r="I63" i="1"/>
  <c r="I59" i="1"/>
  <c r="I60" i="1" s="1"/>
  <c r="I82" i="1"/>
  <c r="N302" i="1"/>
  <c r="P383" i="1"/>
  <c r="K370" i="1"/>
  <c r="L370" i="1" s="1"/>
  <c r="L364" i="1" s="1"/>
  <c r="Y335" i="1"/>
  <c r="Y301" i="1"/>
  <c r="AA307" i="1" s="1"/>
  <c r="AA319" i="1"/>
  <c r="I342" i="1"/>
  <c r="Z354" i="1"/>
  <c r="Z348" i="1"/>
  <c r="AD304" i="1"/>
  <c r="X344" i="1"/>
  <c r="X332" i="1"/>
  <c r="X363" i="1" s="1"/>
  <c r="AB281" i="1"/>
  <c r="AB283" i="1" s="1"/>
  <c r="AA285" i="1"/>
  <c r="AA284" i="1"/>
  <c r="I352" i="1"/>
  <c r="I346" i="1"/>
  <c r="I281" i="1"/>
  <c r="H117" i="1"/>
  <c r="N14" i="1"/>
  <c r="H386" i="1"/>
  <c r="H387" i="1"/>
  <c r="Z386" i="1"/>
  <c r="Z387" i="1"/>
  <c r="G387" i="1"/>
  <c r="G386" i="1"/>
  <c r="K372" i="1"/>
  <c r="L372" i="1" s="1"/>
  <c r="L366" i="1" s="1"/>
  <c r="AE318" i="1"/>
  <c r="AE334" i="1"/>
  <c r="K418" i="1"/>
  <c r="K469" i="1"/>
  <c r="N145" i="1"/>
  <c r="O146" i="1"/>
  <c r="Y33" i="1"/>
  <c r="Y62" i="1"/>
  <c r="M225" i="1"/>
  <c r="N136" i="1"/>
  <c r="P56" i="1"/>
  <c r="M117" i="1"/>
  <c r="J284" i="1"/>
  <c r="J285" i="1"/>
  <c r="J43" i="1"/>
  <c r="K281" i="1"/>
  <c r="J117" i="1"/>
  <c r="AE333" i="1"/>
  <c r="AE317" i="1"/>
  <c r="AE310" i="1"/>
  <c r="AD370" i="1"/>
  <c r="AC333" i="1"/>
  <c r="AC310" i="1"/>
  <c r="AC298" i="1" s="1"/>
  <c r="AC317" i="1"/>
  <c r="AC299" i="1"/>
  <c r="AC305" i="1" s="1"/>
  <c r="AC318" i="1"/>
  <c r="AC334" i="1"/>
  <c r="K330" i="1"/>
  <c r="L259" i="1"/>
  <c r="M259" i="1" s="1"/>
  <c r="N259" i="1" s="1"/>
  <c r="O259" i="1" s="1"/>
  <c r="P259" i="1" s="1"/>
  <c r="Q259" i="1" s="1"/>
  <c r="R259" i="1" s="1"/>
  <c r="S259" i="1" s="1"/>
  <c r="T259" i="1" s="1"/>
  <c r="U259" i="1" s="1"/>
  <c r="AB87" i="1"/>
  <c r="AB85" i="1"/>
  <c r="AC36" i="1"/>
  <c r="K329" i="1"/>
  <c r="L257" i="1"/>
  <c r="M257" i="1" s="1"/>
  <c r="N257" i="1" s="1"/>
  <c r="O257" i="1" s="1"/>
  <c r="P257" i="1" s="1"/>
  <c r="Q257" i="1" s="1"/>
  <c r="R257" i="1" s="1"/>
  <c r="S257" i="1" s="1"/>
  <c r="T257" i="1" s="1"/>
  <c r="U257" i="1" s="1"/>
  <c r="M125" i="1"/>
  <c r="L124" i="1"/>
  <c r="L122" i="1" s="1"/>
  <c r="L224" i="1" s="1"/>
  <c r="Q40" i="1"/>
  <c r="K54" i="1"/>
  <c r="K233" i="1"/>
  <c r="K88" i="1"/>
  <c r="K91" i="1"/>
  <c r="K89" i="1"/>
  <c r="AA62" i="1"/>
  <c r="N301" i="1"/>
  <c r="AA386" i="1"/>
  <c r="AA387" i="1"/>
  <c r="AE335" i="1"/>
  <c r="AE319" i="1"/>
  <c r="Y385" i="1"/>
  <c r="Y387" i="1" s="1"/>
  <c r="Y298" i="1"/>
  <c r="K351" i="1"/>
  <c r="K345" i="1"/>
  <c r="K338" i="1"/>
  <c r="K354" i="1"/>
  <c r="K348" i="1"/>
  <c r="J354" i="1"/>
  <c r="J348" i="1"/>
  <c r="AD387" i="1"/>
  <c r="AD386" i="1"/>
  <c r="H316" i="1"/>
  <c r="H298" i="1"/>
  <c r="H326" i="1"/>
  <c r="H323" i="1"/>
  <c r="N46" i="1"/>
  <c r="N299" i="1"/>
  <c r="Y302" i="1"/>
  <c r="Y336" i="1"/>
  <c r="K371" i="1"/>
  <c r="L371" i="1" s="1"/>
  <c r="L365" i="1" s="1"/>
  <c r="AB284" i="1"/>
  <c r="AC281" i="1"/>
  <c r="AB43" i="1"/>
  <c r="AD369" i="1"/>
  <c r="I334" i="1"/>
  <c r="I365" i="1" s="1"/>
  <c r="I371" i="1" s="1"/>
  <c r="L296" i="1"/>
  <c r="L116" i="1" s="1"/>
  <c r="L283" i="1"/>
  <c r="G127" i="1"/>
  <c r="G128" i="1"/>
  <c r="G130" i="1" s="1"/>
  <c r="N265" i="1"/>
  <c r="N340" i="1" s="1"/>
  <c r="M271" i="1"/>
  <c r="J316" i="1"/>
  <c r="J298" i="1"/>
  <c r="J325" i="1"/>
  <c r="M183" i="1"/>
  <c r="L231" i="1"/>
  <c r="Y396" i="1"/>
  <c r="I335" i="1"/>
  <c r="I366" i="1" s="1"/>
  <c r="Y339" i="1"/>
  <c r="H345" i="1"/>
  <c r="H351" i="1"/>
  <c r="H338" i="1"/>
  <c r="H332" i="1" s="1"/>
  <c r="H363" i="1" s="1"/>
  <c r="H369" i="1" s="1"/>
  <c r="J336" i="1"/>
  <c r="J367" i="1" s="1"/>
  <c r="AA336" i="1"/>
  <c r="AA320" i="1"/>
  <c r="AA302" i="1"/>
  <c r="I316" i="1"/>
  <c r="AE387" i="1"/>
  <c r="AE386" i="1"/>
  <c r="AA317" i="1"/>
  <c r="AA310" i="1"/>
  <c r="AA333" i="1"/>
  <c r="AA299" i="1"/>
  <c r="Z332" i="1"/>
  <c r="Z363" i="1" s="1"/>
  <c r="Z369" i="1" s="1"/>
  <c r="Z316" i="1"/>
  <c r="Z298" i="1"/>
  <c r="Z304" i="1" s="1"/>
  <c r="AA334" i="1"/>
  <c r="AA318" i="1"/>
  <c r="H281" i="1"/>
  <c r="H284" i="1" s="1"/>
  <c r="G284" i="1"/>
  <c r="G285" i="1"/>
  <c r="G117" i="1"/>
  <c r="Z294" i="1"/>
  <c r="Z292" i="1"/>
  <c r="L79" i="1"/>
  <c r="K78" i="1"/>
  <c r="M340" i="1"/>
  <c r="J63" i="1"/>
  <c r="J59" i="1"/>
  <c r="J60" i="1" s="1"/>
  <c r="J82" i="1"/>
  <c r="AC62" i="1"/>
  <c r="AC33" i="1"/>
  <c r="Y334" i="1"/>
  <c r="Y300" i="1"/>
  <c r="AA306" i="1" s="1"/>
  <c r="K196" i="1"/>
  <c r="N53" i="1"/>
  <c r="G125" i="1"/>
  <c r="K214" i="1" l="1"/>
  <c r="K59" i="1" s="1"/>
  <c r="K60" i="1" s="1"/>
  <c r="K139" i="1"/>
  <c r="K140" i="1" s="1"/>
  <c r="L135" i="1" s="1"/>
  <c r="L137" i="1" s="1"/>
  <c r="L214" i="1" s="1"/>
  <c r="G85" i="1"/>
  <c r="G87" i="1"/>
  <c r="AD218" i="1"/>
  <c r="F332" i="1"/>
  <c r="F363" i="1" s="1"/>
  <c r="G369" i="1" s="1"/>
  <c r="F344" i="1"/>
  <c r="F350" i="1"/>
  <c r="F85" i="1"/>
  <c r="F87" i="1"/>
  <c r="AB285" i="1"/>
  <c r="M366" i="1"/>
  <c r="L335" i="1"/>
  <c r="M364" i="1"/>
  <c r="L333" i="1"/>
  <c r="M365" i="1"/>
  <c r="L334" i="1"/>
  <c r="L312" i="1" s="1"/>
  <c r="Q56" i="1"/>
  <c r="K424" i="1"/>
  <c r="K468" i="1"/>
  <c r="H285" i="1"/>
  <c r="K373" i="1"/>
  <c r="L373" i="1" s="1"/>
  <c r="L367" i="1" s="1"/>
  <c r="O302" i="1"/>
  <c r="O10" i="1"/>
  <c r="O265" i="1"/>
  <c r="N271" i="1"/>
  <c r="H304" i="1"/>
  <c r="I304" i="1"/>
  <c r="K52" i="1"/>
  <c r="K283" i="1"/>
  <c r="K124" i="1"/>
  <c r="K122" i="1" s="1"/>
  <c r="K285" i="1"/>
  <c r="K284" i="1"/>
  <c r="O136" i="1"/>
  <c r="N225" i="1"/>
  <c r="I285" i="1"/>
  <c r="I283" i="1"/>
  <c r="I125" i="1"/>
  <c r="I284" i="1"/>
  <c r="I85" i="1"/>
  <c r="I87" i="1"/>
  <c r="AD293" i="1"/>
  <c r="AD294" i="1"/>
  <c r="AD295" i="1"/>
  <c r="AD292" i="1"/>
  <c r="J344" i="1"/>
  <c r="J350" i="1"/>
  <c r="AC386" i="1"/>
  <c r="AC387" i="1"/>
  <c r="K350" i="1"/>
  <c r="K344" i="1"/>
  <c r="K332" i="1"/>
  <c r="K363" i="1" s="1"/>
  <c r="AC316" i="1"/>
  <c r="AC332" i="1"/>
  <c r="AE283" i="1"/>
  <c r="AE284" i="1"/>
  <c r="AE285" i="1"/>
  <c r="AB304" i="1"/>
  <c r="O301" i="1"/>
  <c r="R40" i="1"/>
  <c r="AB212" i="1"/>
  <c r="AB218" i="1" s="1"/>
  <c r="AB88" i="1"/>
  <c r="AB89" i="1"/>
  <c r="AB91" i="1"/>
  <c r="J146" i="1"/>
  <c r="J294" i="1"/>
  <c r="J292" i="1"/>
  <c r="J295" i="1"/>
  <c r="J293" i="1"/>
  <c r="Y82" i="1"/>
  <c r="Y63" i="1"/>
  <c r="O14" i="1"/>
  <c r="Z85" i="1"/>
  <c r="Z87" i="1"/>
  <c r="AB369" i="1"/>
  <c r="H88" i="1"/>
  <c r="H212" i="1"/>
  <c r="H218" i="1" s="1"/>
  <c r="H91" i="1"/>
  <c r="H89" i="1"/>
  <c r="I338" i="1"/>
  <c r="I351" i="1"/>
  <c r="I345" i="1"/>
  <c r="I333" i="1"/>
  <c r="I364" i="1" s="1"/>
  <c r="Y352" i="1"/>
  <c r="Y346" i="1"/>
  <c r="H283" i="1"/>
  <c r="H125" i="1"/>
  <c r="AA316" i="1"/>
  <c r="AA298" i="1"/>
  <c r="AA304" i="1" s="1"/>
  <c r="AA332" i="1"/>
  <c r="M79" i="1"/>
  <c r="L78" i="1"/>
  <c r="L76" i="1" s="1"/>
  <c r="H350" i="1"/>
  <c r="H344" i="1"/>
  <c r="N183" i="1"/>
  <c r="M231" i="1"/>
  <c r="J371" i="1"/>
  <c r="AC285" i="1"/>
  <c r="AC283" i="1"/>
  <c r="AC284" i="1"/>
  <c r="AC63" i="1"/>
  <c r="AC82" i="1"/>
  <c r="AB294" i="1"/>
  <c r="AB292" i="1"/>
  <c r="AB295" i="1"/>
  <c r="AB293" i="1"/>
  <c r="O299" i="1"/>
  <c r="O53" i="1"/>
  <c r="J87" i="1"/>
  <c r="J85" i="1"/>
  <c r="AA308" i="1"/>
  <c r="Y338" i="1"/>
  <c r="Y344" i="1" s="1"/>
  <c r="Y351" i="1"/>
  <c r="Y345" i="1"/>
  <c r="J304" i="1"/>
  <c r="K304" i="1"/>
  <c r="AA63" i="1"/>
  <c r="AA82" i="1"/>
  <c r="AE332" i="1"/>
  <c r="AE316" i="1"/>
  <c r="O145" i="1"/>
  <c r="P146" i="1"/>
  <c r="AE87" i="1"/>
  <c r="AE85" i="1"/>
  <c r="Y333" i="1"/>
  <c r="G294" i="1"/>
  <c r="G293" i="1"/>
  <c r="G292" i="1"/>
  <c r="G295" i="1"/>
  <c r="AA305" i="1"/>
  <c r="I372" i="1"/>
  <c r="J372" i="1"/>
  <c r="O46" i="1"/>
  <c r="N125" i="1"/>
  <c r="N117" i="1"/>
  <c r="L139" i="1"/>
  <c r="L140" i="1" s="1"/>
  <c r="AA295" i="1"/>
  <c r="AA293" i="1"/>
  <c r="AA294" i="1"/>
  <c r="AA292" i="1"/>
  <c r="Q383" i="1"/>
  <c r="O300" i="1"/>
  <c r="Y347" i="1"/>
  <c r="Y353" i="1"/>
  <c r="Y332" i="1"/>
  <c r="O12" i="1"/>
  <c r="AC308" i="1"/>
  <c r="J332" i="1"/>
  <c r="J363" i="1" s="1"/>
  <c r="M281" i="1"/>
  <c r="L263" i="1"/>
  <c r="L42" i="1"/>
  <c r="I354" i="1"/>
  <c r="I348" i="1"/>
  <c r="I336" i="1"/>
  <c r="I367" i="1" s="1"/>
  <c r="I373" i="1" s="1"/>
  <c r="Y354" i="1"/>
  <c r="Y348" i="1"/>
  <c r="G212" i="1" l="1"/>
  <c r="G218" i="1" s="1"/>
  <c r="G89" i="1"/>
  <c r="G88" i="1"/>
  <c r="G91" i="1"/>
  <c r="AC304" i="1"/>
  <c r="J373" i="1"/>
  <c r="F91" i="1"/>
  <c r="F212" i="1"/>
  <c r="F218" i="1" s="1"/>
  <c r="F89" i="1"/>
  <c r="F88" i="1"/>
  <c r="P46" i="1"/>
  <c r="J212" i="1"/>
  <c r="J218" i="1" s="1"/>
  <c r="J88" i="1"/>
  <c r="J91" i="1"/>
  <c r="J89" i="1"/>
  <c r="O183" i="1"/>
  <c r="N231" i="1"/>
  <c r="P14" i="1"/>
  <c r="P136" i="1"/>
  <c r="O225" i="1"/>
  <c r="P302" i="1"/>
  <c r="P53" i="1"/>
  <c r="AC87" i="1"/>
  <c r="AC85" i="1"/>
  <c r="AE293" i="1"/>
  <c r="AE292" i="1"/>
  <c r="AE295" i="1"/>
  <c r="AE294" i="1"/>
  <c r="I88" i="1"/>
  <c r="I212" i="1"/>
  <c r="I218" i="1" s="1"/>
  <c r="I91" i="1"/>
  <c r="I89" i="1"/>
  <c r="L318" i="1"/>
  <c r="L330" i="1"/>
  <c r="L378" i="1"/>
  <c r="Y85" i="1"/>
  <c r="Y87" i="1"/>
  <c r="K145" i="1"/>
  <c r="K149" i="1" s="1"/>
  <c r="K150" i="1" s="1"/>
  <c r="K293" i="1"/>
  <c r="K292" i="1"/>
  <c r="L292" i="1" s="1"/>
  <c r="K295" i="1"/>
  <c r="K294" i="1"/>
  <c r="L294" i="1" s="1"/>
  <c r="M367" i="1"/>
  <c r="L336" i="1"/>
  <c r="M334" i="1"/>
  <c r="M312" i="1" s="1"/>
  <c r="N365" i="1"/>
  <c r="K224" i="1"/>
  <c r="K128" i="1"/>
  <c r="K129" i="1" s="1"/>
  <c r="H292" i="1"/>
  <c r="H295" i="1"/>
  <c r="H294" i="1"/>
  <c r="H293" i="1"/>
  <c r="AA87" i="1"/>
  <c r="AA85" i="1"/>
  <c r="I344" i="1"/>
  <c r="I350" i="1"/>
  <c r="I332" i="1"/>
  <c r="I363" i="1" s="1"/>
  <c r="I369" i="1" s="1"/>
  <c r="R56" i="1"/>
  <c r="L269" i="1"/>
  <c r="L38" i="1"/>
  <c r="L37" i="1" s="1"/>
  <c r="L277" i="1"/>
  <c r="M296" i="1"/>
  <c r="M283" i="1"/>
  <c r="P300" i="1"/>
  <c r="L108" i="1"/>
  <c r="M135" i="1"/>
  <c r="AE91" i="1"/>
  <c r="AE88" i="1"/>
  <c r="AE89" i="1"/>
  <c r="O117" i="1"/>
  <c r="P145" i="1"/>
  <c r="Q146" i="1"/>
  <c r="L236" i="1"/>
  <c r="L217" i="1"/>
  <c r="P265" i="1"/>
  <c r="P340" i="1" s="1"/>
  <c r="O271" i="1"/>
  <c r="R383" i="1"/>
  <c r="P299" i="1"/>
  <c r="N79" i="1"/>
  <c r="M78" i="1"/>
  <c r="M76" i="1" s="1"/>
  <c r="I370" i="1"/>
  <c r="J370" i="1"/>
  <c r="S40" i="1"/>
  <c r="O340" i="1"/>
  <c r="N364" i="1"/>
  <c r="M333" i="1"/>
  <c r="P12" i="1"/>
  <c r="M124" i="1"/>
  <c r="M122" i="1" s="1"/>
  <c r="M224" i="1" s="1"/>
  <c r="AC293" i="1"/>
  <c r="AC294" i="1"/>
  <c r="AC292" i="1"/>
  <c r="AC295" i="1"/>
  <c r="Z212" i="1"/>
  <c r="Z218" i="1" s="1"/>
  <c r="Z91" i="1"/>
  <c r="Z89" i="1"/>
  <c r="Z88" i="1"/>
  <c r="O125" i="1"/>
  <c r="P301" i="1"/>
  <c r="K369" i="1"/>
  <c r="I294" i="1"/>
  <c r="I292" i="1"/>
  <c r="I293" i="1"/>
  <c r="I295" i="1"/>
  <c r="P10" i="1"/>
  <c r="N366" i="1"/>
  <c r="M335" i="1"/>
  <c r="N367" i="1" l="1"/>
  <c r="M336" i="1"/>
  <c r="Q302" i="1"/>
  <c r="Q300" i="1"/>
  <c r="K131" i="1"/>
  <c r="K132" i="1" s="1"/>
  <c r="L121" i="1"/>
  <c r="Q53" i="1"/>
  <c r="O231" i="1"/>
  <c r="P183" i="1"/>
  <c r="L288" i="1"/>
  <c r="L266" i="1" s="1"/>
  <c r="M294" i="1"/>
  <c r="Q12" i="1"/>
  <c r="J369" i="1"/>
  <c r="O364" i="1"/>
  <c r="N333" i="1"/>
  <c r="Q46" i="1"/>
  <c r="P271" i="1"/>
  <c r="Q265" i="1"/>
  <c r="O366" i="1"/>
  <c r="N335" i="1"/>
  <c r="Q301" i="1"/>
  <c r="O79" i="1"/>
  <c r="N78" i="1"/>
  <c r="N76" i="1" s="1"/>
  <c r="Q10" i="1"/>
  <c r="P125" i="1"/>
  <c r="Q299" i="1"/>
  <c r="AA89" i="1"/>
  <c r="AA212" i="1"/>
  <c r="AA218" i="1" s="1"/>
  <c r="AA91" i="1"/>
  <c r="AA88" i="1"/>
  <c r="N334" i="1"/>
  <c r="N312" i="1" s="1"/>
  <c r="O365" i="1"/>
  <c r="L144" i="1"/>
  <c r="K153" i="1"/>
  <c r="AC212" i="1"/>
  <c r="AC218" i="1" s="1"/>
  <c r="AC88" i="1"/>
  <c r="AC89" i="1"/>
  <c r="AC91" i="1"/>
  <c r="Q14" i="1"/>
  <c r="S56" i="1"/>
  <c r="P117" i="1"/>
  <c r="M217" i="1"/>
  <c r="M236" i="1"/>
  <c r="N281" i="1"/>
  <c r="M263" i="1"/>
  <c r="M42" i="1"/>
  <c r="M116" i="1"/>
  <c r="L295" i="1"/>
  <c r="L289" i="1" s="1"/>
  <c r="L267" i="1" s="1"/>
  <c r="M292" i="1"/>
  <c r="L286" i="1"/>
  <c r="L264" i="1" s="1"/>
  <c r="P225" i="1"/>
  <c r="Q136" i="1"/>
  <c r="T40" i="1"/>
  <c r="S383" i="1"/>
  <c r="R146" i="1"/>
  <c r="Q145" i="1"/>
  <c r="M137" i="1"/>
  <c r="M214" i="1" s="1"/>
  <c r="M330" i="1"/>
  <c r="M318" i="1"/>
  <c r="M378" i="1"/>
  <c r="Y88" i="1"/>
  <c r="Y89" i="1"/>
  <c r="Y212" i="1"/>
  <c r="Y91" i="1"/>
  <c r="M139" i="1" l="1"/>
  <c r="M140" i="1" s="1"/>
  <c r="Q271" i="1"/>
  <c r="R265" i="1"/>
  <c r="M269" i="1"/>
  <c r="M38" i="1"/>
  <c r="M37" i="1" s="1"/>
  <c r="M277" i="1"/>
  <c r="T56" i="1"/>
  <c r="L147" i="1"/>
  <c r="L215" i="1" s="1"/>
  <c r="L233" i="1" s="1"/>
  <c r="P79" i="1"/>
  <c r="O78" i="1"/>
  <c r="O76" i="1" s="1"/>
  <c r="Q340" i="1"/>
  <c r="L126" i="1"/>
  <c r="L213" i="1" s="1"/>
  <c r="P366" i="1"/>
  <c r="O335" i="1"/>
  <c r="L342" i="1"/>
  <c r="L314" i="1" s="1"/>
  <c r="L279" i="1"/>
  <c r="L273" i="1"/>
  <c r="R10" i="1"/>
  <c r="R136" i="1"/>
  <c r="Q225" i="1"/>
  <c r="N283" i="1"/>
  <c r="N296" i="1"/>
  <c r="N124" i="1"/>
  <c r="N122" i="1" s="1"/>
  <c r="N224" i="1" s="1"/>
  <c r="O334" i="1"/>
  <c r="O312" i="1" s="1"/>
  <c r="P365" i="1"/>
  <c r="R301" i="1"/>
  <c r="R46" i="1"/>
  <c r="M288" i="1"/>
  <c r="M266" i="1" s="1"/>
  <c r="N294" i="1"/>
  <c r="N135" i="1"/>
  <c r="M108" i="1"/>
  <c r="R14" i="1"/>
  <c r="N318" i="1"/>
  <c r="N330" i="1"/>
  <c r="N378" i="1"/>
  <c r="R299" i="1"/>
  <c r="L278" i="1"/>
  <c r="L341" i="1"/>
  <c r="L313" i="1" s="1"/>
  <c r="L272" i="1"/>
  <c r="R300" i="1"/>
  <c r="Q125" i="1"/>
  <c r="P231" i="1"/>
  <c r="Q183" i="1"/>
  <c r="R302" i="1"/>
  <c r="L339" i="1"/>
  <c r="L276" i="1"/>
  <c r="L270" i="1"/>
  <c r="S146" i="1"/>
  <c r="R145" i="1"/>
  <c r="T383" i="1"/>
  <c r="Q117" i="1"/>
  <c r="R53" i="1"/>
  <c r="N292" i="1"/>
  <c r="M286" i="1"/>
  <c r="M264" i="1" s="1"/>
  <c r="M295" i="1"/>
  <c r="M289" i="1" s="1"/>
  <c r="M267" i="1" s="1"/>
  <c r="P364" i="1"/>
  <c r="O333" i="1"/>
  <c r="U40" i="1"/>
  <c r="N236" i="1"/>
  <c r="N217" i="1"/>
  <c r="R12" i="1"/>
  <c r="O367" i="1"/>
  <c r="N336" i="1"/>
  <c r="L45" i="1" l="1"/>
  <c r="L149" i="1"/>
  <c r="L150" i="1" s="1"/>
  <c r="L106" i="1" s="1"/>
  <c r="M279" i="1"/>
  <c r="M273" i="1"/>
  <c r="M342" i="1"/>
  <c r="M314" i="1" s="1"/>
  <c r="M270" i="1"/>
  <c r="N264" i="1"/>
  <c r="M276" i="1"/>
  <c r="M339" i="1"/>
  <c r="M278" i="1"/>
  <c r="M272" i="1"/>
  <c r="M341" i="1"/>
  <c r="M313" i="1" s="1"/>
  <c r="S12" i="1"/>
  <c r="U383" i="1"/>
  <c r="L338" i="1"/>
  <c r="L311" i="1"/>
  <c r="S299" i="1"/>
  <c r="P334" i="1"/>
  <c r="P312" i="1" s="1"/>
  <c r="Q365" i="1"/>
  <c r="S10" i="1"/>
  <c r="U56" i="1"/>
  <c r="S302" i="1"/>
  <c r="S300" i="1"/>
  <c r="N137" i="1"/>
  <c r="N214" i="1" s="1"/>
  <c r="O330" i="1"/>
  <c r="O318" i="1"/>
  <c r="O378" i="1"/>
  <c r="L128" i="1"/>
  <c r="L129" i="1" s="1"/>
  <c r="O292" i="1"/>
  <c r="N286" i="1"/>
  <c r="N295" i="1"/>
  <c r="N289" i="1" s="1"/>
  <c r="N267" i="1" s="1"/>
  <c r="O294" i="1"/>
  <c r="N288" i="1"/>
  <c r="N266" i="1" s="1"/>
  <c r="T146" i="1"/>
  <c r="S145" i="1"/>
  <c r="O236" i="1"/>
  <c r="O217" i="1"/>
  <c r="Q231" i="1"/>
  <c r="R183" i="1"/>
  <c r="O281" i="1"/>
  <c r="N263" i="1"/>
  <c r="N42" i="1"/>
  <c r="N116" i="1"/>
  <c r="L319" i="1"/>
  <c r="L379" i="1"/>
  <c r="R271" i="1"/>
  <c r="S265" i="1"/>
  <c r="S340" i="1" s="1"/>
  <c r="M144" i="1"/>
  <c r="L153" i="1"/>
  <c r="O336" i="1"/>
  <c r="P367" i="1"/>
  <c r="S136" i="1"/>
  <c r="R225" i="1"/>
  <c r="S46" i="1"/>
  <c r="Q79" i="1"/>
  <c r="P78" i="1"/>
  <c r="P76" i="1" s="1"/>
  <c r="S53" i="1"/>
  <c r="L320" i="1"/>
  <c r="L380" i="1"/>
  <c r="P333" i="1"/>
  <c r="Q364" i="1"/>
  <c r="R117" i="1"/>
  <c r="R125" i="1"/>
  <c r="S14" i="1"/>
  <c r="S301" i="1"/>
  <c r="P335" i="1"/>
  <c r="Q366" i="1"/>
  <c r="R340" i="1"/>
  <c r="N272" i="1" l="1"/>
  <c r="N278" i="1"/>
  <c r="N341" i="1"/>
  <c r="N313" i="1" s="1"/>
  <c r="N279" i="1"/>
  <c r="N273" i="1"/>
  <c r="N342" i="1"/>
  <c r="N314" i="1" s="1"/>
  <c r="Q333" i="1"/>
  <c r="R364" i="1"/>
  <c r="P236" i="1"/>
  <c r="P217" i="1"/>
  <c r="N269" i="1"/>
  <c r="N38" i="1"/>
  <c r="N37" i="1" s="1"/>
  <c r="N277" i="1"/>
  <c r="T302" i="1"/>
  <c r="P330" i="1"/>
  <c r="P318" i="1"/>
  <c r="P378" i="1"/>
  <c r="N276" i="1"/>
  <c r="N270" i="1"/>
  <c r="T301" i="1"/>
  <c r="R79" i="1"/>
  <c r="Q78" i="1"/>
  <c r="Q76" i="1" s="1"/>
  <c r="P336" i="1"/>
  <c r="Q367" i="1"/>
  <c r="O283" i="1"/>
  <c r="O296" i="1"/>
  <c r="O124" i="1"/>
  <c r="O122" i="1" s="1"/>
  <c r="O224" i="1" s="1"/>
  <c r="T299" i="1"/>
  <c r="M319" i="1"/>
  <c r="M379" i="1"/>
  <c r="T46" i="1"/>
  <c r="R231" i="1"/>
  <c r="S183" i="1"/>
  <c r="N339" i="1"/>
  <c r="T14" i="1"/>
  <c r="L184" i="1"/>
  <c r="L177" i="1"/>
  <c r="P294" i="1"/>
  <c r="O288" i="1"/>
  <c r="O266" i="1" s="1"/>
  <c r="L317" i="1"/>
  <c r="L329" i="1"/>
  <c r="L310" i="1"/>
  <c r="L323" i="1" s="1"/>
  <c r="L377" i="1"/>
  <c r="L375" i="1" s="1"/>
  <c r="M320" i="1"/>
  <c r="M380" i="1"/>
  <c r="S125" i="1"/>
  <c r="M147" i="1"/>
  <c r="M215" i="1" s="1"/>
  <c r="M233" i="1" s="1"/>
  <c r="N139" i="1"/>
  <c r="N140" i="1" s="1"/>
  <c r="T10" i="1"/>
  <c r="Q335" i="1"/>
  <c r="R366" i="1"/>
  <c r="T53" i="1"/>
  <c r="P292" i="1"/>
  <c r="O295" i="1"/>
  <c r="O289" i="1" s="1"/>
  <c r="O267" i="1" s="1"/>
  <c r="O342" i="1" s="1"/>
  <c r="O314" i="1" s="1"/>
  <c r="O286" i="1"/>
  <c r="O264" i="1" s="1"/>
  <c r="T300" i="1"/>
  <c r="M338" i="1"/>
  <c r="M311" i="1"/>
  <c r="S117" i="1"/>
  <c r="S225" i="1"/>
  <c r="T136" i="1"/>
  <c r="T340" i="1"/>
  <c r="S271" i="1"/>
  <c r="T265" i="1"/>
  <c r="U146" i="1"/>
  <c r="U145" i="1" s="1"/>
  <c r="T145" i="1"/>
  <c r="M121" i="1"/>
  <c r="L105" i="1"/>
  <c r="L103" i="1" s="1"/>
  <c r="L131" i="1"/>
  <c r="L132" i="1" s="1"/>
  <c r="R365" i="1"/>
  <c r="Q334" i="1"/>
  <c r="Q312" i="1" s="1"/>
  <c r="T12" i="1"/>
  <c r="O272" i="1" l="1"/>
  <c r="O341" i="1"/>
  <c r="O313" i="1" s="1"/>
  <c r="O320" i="1"/>
  <c r="O380" i="1"/>
  <c r="O270" i="1"/>
  <c r="O339" i="1"/>
  <c r="U299" i="1"/>
  <c r="T117" i="1"/>
  <c r="U300" i="1"/>
  <c r="T125" i="1"/>
  <c r="Q236" i="1"/>
  <c r="Q217" i="1"/>
  <c r="O273" i="1"/>
  <c r="M126" i="1"/>
  <c r="M213" i="1" s="1"/>
  <c r="M45" i="1" s="1"/>
  <c r="T225" i="1"/>
  <c r="U136" i="1"/>
  <c r="U225" i="1" s="1"/>
  <c r="T183" i="1"/>
  <c r="S231" i="1"/>
  <c r="S79" i="1"/>
  <c r="R78" i="1"/>
  <c r="R76" i="1" s="1"/>
  <c r="U10" i="1"/>
  <c r="Q294" i="1"/>
  <c r="P288" i="1"/>
  <c r="P266" i="1" s="1"/>
  <c r="U12" i="1"/>
  <c r="U301" i="1"/>
  <c r="N319" i="1"/>
  <c r="N379" i="1"/>
  <c r="P295" i="1"/>
  <c r="P289" i="1" s="1"/>
  <c r="P267" i="1" s="1"/>
  <c r="Q292" i="1"/>
  <c r="P286" i="1"/>
  <c r="P264" i="1" s="1"/>
  <c r="O135" i="1"/>
  <c r="N108" i="1"/>
  <c r="L376" i="1"/>
  <c r="L350" i="1"/>
  <c r="L298" i="1"/>
  <c r="L304" i="1" s="1"/>
  <c r="L382" i="1"/>
  <c r="L385" i="1" s="1"/>
  <c r="P281" i="1"/>
  <c r="O263" i="1"/>
  <c r="O42" i="1"/>
  <c r="O116" i="1"/>
  <c r="R333" i="1"/>
  <c r="S364" i="1"/>
  <c r="Q318" i="1"/>
  <c r="Q330" i="1"/>
  <c r="Q378" i="1"/>
  <c r="T271" i="1"/>
  <c r="U265" i="1"/>
  <c r="U340" i="1" s="1"/>
  <c r="L332" i="1"/>
  <c r="L316" i="1"/>
  <c r="L324" i="1"/>
  <c r="L325" i="1"/>
  <c r="L326" i="1"/>
  <c r="U14" i="1"/>
  <c r="U46" i="1"/>
  <c r="S365" i="1"/>
  <c r="R334" i="1"/>
  <c r="R312" i="1" s="1"/>
  <c r="M329" i="1"/>
  <c r="M317" i="1"/>
  <c r="M310" i="1"/>
  <c r="M323" i="1"/>
  <c r="M377" i="1"/>
  <c r="M375" i="1" s="1"/>
  <c r="U53" i="1"/>
  <c r="M149" i="1"/>
  <c r="M150" i="1" s="1"/>
  <c r="R367" i="1"/>
  <c r="Q336" i="1"/>
  <c r="U302" i="1"/>
  <c r="N320" i="1"/>
  <c r="N380" i="1"/>
  <c r="R335" i="1"/>
  <c r="S366" i="1"/>
  <c r="N338" i="1"/>
  <c r="N311" i="1"/>
  <c r="M128" i="1" l="1"/>
  <c r="M129" i="1" s="1"/>
  <c r="L386" i="1"/>
  <c r="L8" i="1"/>
  <c r="P270" i="1"/>
  <c r="P339" i="1"/>
  <c r="M106" i="1"/>
  <c r="M153" i="1"/>
  <c r="N144" i="1"/>
  <c r="R318" i="1"/>
  <c r="R330" i="1"/>
  <c r="R378" i="1"/>
  <c r="M105" i="1"/>
  <c r="N121" i="1"/>
  <c r="M131" i="1"/>
  <c r="M132" i="1" s="1"/>
  <c r="T365" i="1"/>
  <c r="S334" i="1"/>
  <c r="S312" i="1" s="1"/>
  <c r="O38" i="1"/>
  <c r="O37" i="1" s="1"/>
  <c r="O269" i="1"/>
  <c r="O277" i="1"/>
  <c r="P296" i="1"/>
  <c r="P283" i="1"/>
  <c r="P124" i="1"/>
  <c r="P122" i="1" s="1"/>
  <c r="P224" i="1" s="1"/>
  <c r="O137" i="1"/>
  <c r="O214" i="1" s="1"/>
  <c r="R217" i="1"/>
  <c r="R236" i="1"/>
  <c r="P273" i="1"/>
  <c r="Q267" i="1"/>
  <c r="U125" i="1"/>
  <c r="M376" i="1"/>
  <c r="M298" i="1"/>
  <c r="M304" i="1" s="1"/>
  <c r="M382" i="1"/>
  <c r="M385" i="1" s="1"/>
  <c r="M350" i="1"/>
  <c r="T79" i="1"/>
  <c r="S78" i="1"/>
  <c r="S76" i="1" s="1"/>
  <c r="O279" i="1"/>
  <c r="O338" i="1"/>
  <c r="O311" i="1"/>
  <c r="O319" i="1"/>
  <c r="O379" i="1"/>
  <c r="Q295" i="1"/>
  <c r="Q289" i="1" s="1"/>
  <c r="R292" i="1"/>
  <c r="Q286" i="1"/>
  <c r="Q264" i="1" s="1"/>
  <c r="P342" i="1"/>
  <c r="P314" i="1" s="1"/>
  <c r="O276" i="1"/>
  <c r="P272" i="1"/>
  <c r="N317" i="1"/>
  <c r="N329" i="1"/>
  <c r="N310" i="1"/>
  <c r="N323" i="1"/>
  <c r="N377" i="1"/>
  <c r="N375" i="1" s="1"/>
  <c r="M332" i="1"/>
  <c r="M316" i="1"/>
  <c r="M324" i="1"/>
  <c r="M325" i="1"/>
  <c r="M326" i="1"/>
  <c r="U271" i="1"/>
  <c r="S333" i="1"/>
  <c r="T364" i="1"/>
  <c r="T231" i="1"/>
  <c r="U183" i="1"/>
  <c r="U231" i="1" s="1"/>
  <c r="O278" i="1"/>
  <c r="S335" i="1"/>
  <c r="T366" i="1"/>
  <c r="S367" i="1"/>
  <c r="R336" i="1"/>
  <c r="R294" i="1"/>
  <c r="Q288" i="1"/>
  <c r="Q266" i="1" s="1"/>
  <c r="U117" i="1"/>
  <c r="P341" i="1"/>
  <c r="P313" i="1" s="1"/>
  <c r="M103" i="1" l="1"/>
  <c r="Q272" i="1"/>
  <c r="Q273" i="1"/>
  <c r="N376" i="1"/>
  <c r="N298" i="1"/>
  <c r="N304" i="1" s="1"/>
  <c r="N350" i="1"/>
  <c r="N382" i="1"/>
  <c r="N385" i="1" s="1"/>
  <c r="Q341" i="1"/>
  <c r="Q313" i="1" s="1"/>
  <c r="P338" i="1"/>
  <c r="P311" i="1"/>
  <c r="M386" i="1"/>
  <c r="M8" i="1"/>
  <c r="Q281" i="1"/>
  <c r="P42" i="1"/>
  <c r="P263" i="1"/>
  <c r="P116" i="1"/>
  <c r="S318" i="1"/>
  <c r="S330" i="1"/>
  <c r="S378" i="1"/>
  <c r="S294" i="1"/>
  <c r="R288" i="1"/>
  <c r="R266" i="1" s="1"/>
  <c r="N316" i="1"/>
  <c r="N332" i="1"/>
  <c r="N324" i="1"/>
  <c r="N326" i="1"/>
  <c r="N325" i="1"/>
  <c r="P320" i="1"/>
  <c r="P380" i="1"/>
  <c r="O329" i="1"/>
  <c r="O310" i="1"/>
  <c r="O323" i="1" s="1"/>
  <c r="O317" i="1"/>
  <c r="O377" i="1"/>
  <c r="O375" i="1" s="1"/>
  <c r="Q342" i="1"/>
  <c r="Q314" i="1" s="1"/>
  <c r="U365" i="1"/>
  <c r="U334" i="1" s="1"/>
  <c r="U312" i="1" s="1"/>
  <c r="T334" i="1"/>
  <c r="T312" i="1" s="1"/>
  <c r="Q270" i="1"/>
  <c r="T367" i="1"/>
  <c r="S336" i="1"/>
  <c r="N147" i="1"/>
  <c r="N215" i="1" s="1"/>
  <c r="N233" i="1" s="1"/>
  <c r="Q339" i="1"/>
  <c r="T335" i="1"/>
  <c r="U366" i="1"/>
  <c r="U335" i="1" s="1"/>
  <c r="T333" i="1"/>
  <c r="U364" i="1"/>
  <c r="U333" i="1" s="1"/>
  <c r="R295" i="1"/>
  <c r="R289" i="1" s="1"/>
  <c r="R267" i="1" s="1"/>
  <c r="S292" i="1"/>
  <c r="R286" i="1"/>
  <c r="R264" i="1" s="1"/>
  <c r="S236" i="1"/>
  <c r="S217" i="1"/>
  <c r="N126" i="1"/>
  <c r="N213" i="1" s="1"/>
  <c r="N128" i="1"/>
  <c r="N129" i="1" s="1"/>
  <c r="M177" i="1"/>
  <c r="M184" i="1"/>
  <c r="L5" i="1"/>
  <c r="L9" i="1"/>
  <c r="P319" i="1"/>
  <c r="P379" i="1"/>
  <c r="U79" i="1"/>
  <c r="U78" i="1" s="1"/>
  <c r="U76" i="1" s="1"/>
  <c r="T78" i="1"/>
  <c r="T76" i="1" s="1"/>
  <c r="O139" i="1"/>
  <c r="O140" i="1" s="1"/>
  <c r="N149" i="1" l="1"/>
  <c r="N150" i="1" s="1"/>
  <c r="N386" i="1"/>
  <c r="N8" i="1"/>
  <c r="R272" i="1"/>
  <c r="R341" i="1"/>
  <c r="R313" i="1" s="1"/>
  <c r="R270" i="1"/>
  <c r="S264" i="1"/>
  <c r="R339" i="1"/>
  <c r="U236" i="1"/>
  <c r="U217" i="1"/>
  <c r="L68" i="1"/>
  <c r="L23" i="1"/>
  <c r="L32" i="1"/>
  <c r="L65" i="1"/>
  <c r="L6" i="1"/>
  <c r="L22" i="1"/>
  <c r="L55" i="1"/>
  <c r="L20" i="1"/>
  <c r="L48" i="1"/>
  <c r="L21" i="1"/>
  <c r="L44" i="1"/>
  <c r="L51" i="1"/>
  <c r="L54" i="1"/>
  <c r="L52" i="1"/>
  <c r="N153" i="1"/>
  <c r="N106" i="1"/>
  <c r="O144" i="1"/>
  <c r="P38" i="1"/>
  <c r="P37" i="1" s="1"/>
  <c r="P269" i="1"/>
  <c r="P277" i="1"/>
  <c r="P278" i="1"/>
  <c r="P276" i="1"/>
  <c r="P279" i="1"/>
  <c r="N184" i="1"/>
  <c r="S295" i="1"/>
  <c r="S289" i="1" s="1"/>
  <c r="S267" i="1" s="1"/>
  <c r="T292" i="1"/>
  <c r="S286" i="1"/>
  <c r="T318" i="1"/>
  <c r="T330" i="1"/>
  <c r="T378" i="1"/>
  <c r="Q319" i="1"/>
  <c r="Q379" i="1"/>
  <c r="R273" i="1"/>
  <c r="N177" i="1"/>
  <c r="U330" i="1"/>
  <c r="U318" i="1"/>
  <c r="U378" i="1"/>
  <c r="T294" i="1"/>
  <c r="S288" i="1"/>
  <c r="S266" i="1" s="1"/>
  <c r="Q296" i="1"/>
  <c r="Q283" i="1"/>
  <c r="Q124" i="1"/>
  <c r="Q122" i="1" s="1"/>
  <c r="Q224" i="1" s="1"/>
  <c r="N131" i="1"/>
  <c r="N132" i="1" s="1"/>
  <c r="O121" i="1"/>
  <c r="N105" i="1"/>
  <c r="T336" i="1"/>
  <c r="U367" i="1"/>
  <c r="U336" i="1" s="1"/>
  <c r="Q320" i="1"/>
  <c r="Q380" i="1"/>
  <c r="M9" i="1"/>
  <c r="M5" i="1"/>
  <c r="R342" i="1"/>
  <c r="R314" i="1" s="1"/>
  <c r="N45" i="1"/>
  <c r="O350" i="1"/>
  <c r="O376" i="1"/>
  <c r="O298" i="1"/>
  <c r="O304" i="1" s="1"/>
  <c r="O382" i="1"/>
  <c r="O385" i="1" s="1"/>
  <c r="P329" i="1"/>
  <c r="P317" i="1"/>
  <c r="P310" i="1"/>
  <c r="P323" i="1"/>
  <c r="P377" i="1"/>
  <c r="P375" i="1" s="1"/>
  <c r="O108" i="1"/>
  <c r="P135" i="1"/>
  <c r="T217" i="1"/>
  <c r="T236" i="1"/>
  <c r="L19" i="1"/>
  <c r="Q338" i="1"/>
  <c r="Q311" i="1"/>
  <c r="O316" i="1"/>
  <c r="O332" i="1"/>
  <c r="O324" i="1"/>
  <c r="O326" i="1"/>
  <c r="O325" i="1"/>
  <c r="O386" i="1" l="1"/>
  <c r="O8" i="1"/>
  <c r="S273" i="1"/>
  <c r="S342" i="1"/>
  <c r="S314" i="1" s="1"/>
  <c r="S272" i="1"/>
  <c r="S341" i="1"/>
  <c r="S313" i="1" s="1"/>
  <c r="T295" i="1"/>
  <c r="T289" i="1" s="1"/>
  <c r="T267" i="1" s="1"/>
  <c r="U292" i="1"/>
  <c r="T286" i="1"/>
  <c r="Q263" i="1"/>
  <c r="Q42" i="1"/>
  <c r="R281" i="1"/>
  <c r="Q116" i="1"/>
  <c r="O147" i="1"/>
  <c r="O215" i="1" s="1"/>
  <c r="O233" i="1" s="1"/>
  <c r="R319" i="1"/>
  <c r="R379" i="1"/>
  <c r="R320" i="1"/>
  <c r="R380" i="1"/>
  <c r="P137" i="1"/>
  <c r="P214" i="1" s="1"/>
  <c r="M23" i="1"/>
  <c r="M32" i="1"/>
  <c r="M68" i="1"/>
  <c r="M6" i="1"/>
  <c r="M65" i="1"/>
  <c r="M48" i="1"/>
  <c r="M21" i="1"/>
  <c r="M44" i="1"/>
  <c r="M35" i="1" s="1"/>
  <c r="M55" i="1"/>
  <c r="M22" i="1"/>
  <c r="M20" i="1"/>
  <c r="M51" i="1"/>
  <c r="M52" i="1"/>
  <c r="M54" i="1"/>
  <c r="T288" i="1"/>
  <c r="T266" i="1" s="1"/>
  <c r="U294" i="1"/>
  <c r="U288" i="1" s="1"/>
  <c r="N103" i="1"/>
  <c r="R338" i="1"/>
  <c r="R311" i="1"/>
  <c r="Q317" i="1"/>
  <c r="Q310" i="1"/>
  <c r="Q323" i="1"/>
  <c r="Q329" i="1"/>
  <c r="Q377" i="1"/>
  <c r="Q375" i="1" s="1"/>
  <c r="P385" i="1"/>
  <c r="P298" i="1"/>
  <c r="P304" i="1" s="1"/>
  <c r="P376" i="1"/>
  <c r="P350" i="1"/>
  <c r="P382" i="1"/>
  <c r="M19" i="1"/>
  <c r="O126" i="1"/>
  <c r="O213" i="1" s="1"/>
  <c r="O128" i="1"/>
  <c r="O129" i="1" s="1"/>
  <c r="S270" i="1"/>
  <c r="T264" i="1"/>
  <c r="N9" i="1"/>
  <c r="N5" i="1"/>
  <c r="P316" i="1"/>
  <c r="P332" i="1"/>
  <c r="P324" i="1"/>
  <c r="P325" i="1"/>
  <c r="P326" i="1"/>
  <c r="L35" i="1"/>
  <c r="L36" i="1" s="1"/>
  <c r="L25" i="1"/>
  <c r="L62" i="1"/>
  <c r="S339" i="1"/>
  <c r="O45" i="1" l="1"/>
  <c r="M36" i="1"/>
  <c r="U266" i="1"/>
  <c r="T272" i="1"/>
  <c r="T341" i="1"/>
  <c r="T313" i="1" s="1"/>
  <c r="T270" i="1"/>
  <c r="R329" i="1"/>
  <c r="R317" i="1"/>
  <c r="R310" i="1"/>
  <c r="R377" i="1"/>
  <c r="R375" i="1" s="1"/>
  <c r="S320" i="1"/>
  <c r="S380" i="1"/>
  <c r="M62" i="1"/>
  <c r="M25" i="1"/>
  <c r="R296" i="1"/>
  <c r="R283" i="1"/>
  <c r="R124" i="1"/>
  <c r="R122" i="1" s="1"/>
  <c r="R224" i="1" s="1"/>
  <c r="U295" i="1"/>
  <c r="U289" i="1" s="1"/>
  <c r="U267" i="1" s="1"/>
  <c r="U286" i="1"/>
  <c r="U264" i="1" s="1"/>
  <c r="T273" i="1"/>
  <c r="T339" i="1"/>
  <c r="P386" i="1"/>
  <c r="P8" i="1"/>
  <c r="S338" i="1"/>
  <c r="S311" i="1"/>
  <c r="O105" i="1"/>
  <c r="P121" i="1"/>
  <c r="O131" i="1"/>
  <c r="O132" i="1" s="1"/>
  <c r="Q385" i="1"/>
  <c r="Q298" i="1"/>
  <c r="Q304" i="1" s="1"/>
  <c r="Q376" i="1"/>
  <c r="Q350" i="1"/>
  <c r="Q382" i="1"/>
  <c r="Q269" i="1"/>
  <c r="Q38" i="1"/>
  <c r="Q37" i="1" s="1"/>
  <c r="Q277" i="1"/>
  <c r="Q278" i="1"/>
  <c r="Q276" i="1"/>
  <c r="Q279" i="1"/>
  <c r="S319" i="1"/>
  <c r="S379" i="1"/>
  <c r="L59" i="1"/>
  <c r="L60" i="1" s="1"/>
  <c r="L82" i="1"/>
  <c r="L63" i="1"/>
  <c r="N32" i="1"/>
  <c r="N65" i="1"/>
  <c r="N23" i="1"/>
  <c r="N6" i="1"/>
  <c r="N68" i="1"/>
  <c r="N48" i="1"/>
  <c r="N21" i="1"/>
  <c r="N20" i="1"/>
  <c r="N22" i="1"/>
  <c r="N55" i="1"/>
  <c r="N44" i="1"/>
  <c r="N51" i="1"/>
  <c r="N52" i="1"/>
  <c r="P139" i="1"/>
  <c r="P140" i="1" s="1"/>
  <c r="T342" i="1"/>
  <c r="T314" i="1" s="1"/>
  <c r="N19" i="1"/>
  <c r="N54" i="1"/>
  <c r="O9" i="1"/>
  <c r="O5" i="1"/>
  <c r="O52" i="1" s="1"/>
  <c r="Q332" i="1"/>
  <c r="Q316" i="1"/>
  <c r="Q324" i="1"/>
  <c r="Q325" i="1"/>
  <c r="Q326" i="1"/>
  <c r="O149" i="1"/>
  <c r="O150" i="1" s="1"/>
  <c r="U273" i="1" l="1"/>
  <c r="U342" i="1"/>
  <c r="U314" i="1" s="1"/>
  <c r="U270" i="1"/>
  <c r="U339" i="1"/>
  <c r="N25" i="1"/>
  <c r="P5" i="1"/>
  <c r="P19" i="1" s="1"/>
  <c r="P9" i="1"/>
  <c r="T320" i="1"/>
  <c r="T380" i="1"/>
  <c r="Q386" i="1"/>
  <c r="Q8" i="1"/>
  <c r="R350" i="1"/>
  <c r="R376" i="1"/>
  <c r="R298" i="1"/>
  <c r="R304" i="1" s="1"/>
  <c r="R382" i="1"/>
  <c r="R385" i="1" s="1"/>
  <c r="Q135" i="1"/>
  <c r="P108" i="1"/>
  <c r="L84" i="1"/>
  <c r="L87" i="1" s="1"/>
  <c r="L88" i="1" s="1"/>
  <c r="T338" i="1"/>
  <c r="T311" i="1"/>
  <c r="R332" i="1"/>
  <c r="R316" i="1"/>
  <c r="R324" i="1"/>
  <c r="R325" i="1"/>
  <c r="R326" i="1"/>
  <c r="T319" i="1"/>
  <c r="T379" i="1"/>
  <c r="O65" i="1"/>
  <c r="O32" i="1"/>
  <c r="O6" i="1"/>
  <c r="O23" i="1"/>
  <c r="O68" i="1"/>
  <c r="O48" i="1"/>
  <c r="O44" i="1"/>
  <c r="O21" i="1"/>
  <c r="O55" i="1"/>
  <c r="O22" i="1"/>
  <c r="O20" i="1"/>
  <c r="O51" i="1"/>
  <c r="O54" i="1"/>
  <c r="P126" i="1"/>
  <c r="P213" i="1" s="1"/>
  <c r="P128" i="1"/>
  <c r="P129" i="1" s="1"/>
  <c r="S281" i="1"/>
  <c r="R42" i="1"/>
  <c r="R263" i="1"/>
  <c r="R116" i="1"/>
  <c r="O19" i="1"/>
  <c r="P144" i="1"/>
  <c r="O153" i="1"/>
  <c r="O106" i="1"/>
  <c r="O103" i="1" s="1"/>
  <c r="S329" i="1"/>
  <c r="S317" i="1"/>
  <c r="S310" i="1"/>
  <c r="S323" i="1" s="1"/>
  <c r="S377" i="1"/>
  <c r="S375" i="1" s="1"/>
  <c r="M82" i="1"/>
  <c r="M59" i="1"/>
  <c r="M60" i="1" s="1"/>
  <c r="M63" i="1"/>
  <c r="R323" i="1"/>
  <c r="U272" i="1"/>
  <c r="N35" i="1"/>
  <c r="N36" i="1" s="1"/>
  <c r="U341" i="1"/>
  <c r="U313" i="1" s="1"/>
  <c r="N62" i="1" l="1"/>
  <c r="R386" i="1"/>
  <c r="R8" i="1"/>
  <c r="Q5" i="1"/>
  <c r="Q9" i="1"/>
  <c r="N82" i="1"/>
  <c r="N59" i="1"/>
  <c r="N60" i="1" s="1"/>
  <c r="N63" i="1"/>
  <c r="Q137" i="1"/>
  <c r="Q214" i="1" s="1"/>
  <c r="Q139" i="1"/>
  <c r="Q140" i="1" s="1"/>
  <c r="S296" i="1"/>
  <c r="S283" i="1"/>
  <c r="S124" i="1"/>
  <c r="S122" i="1" s="1"/>
  <c r="S224" i="1" s="1"/>
  <c r="O25" i="1"/>
  <c r="O184" i="1"/>
  <c r="O177" i="1"/>
  <c r="T317" i="1"/>
  <c r="T329" i="1"/>
  <c r="T310" i="1"/>
  <c r="T377" i="1"/>
  <c r="T375" i="1" s="1"/>
  <c r="U320" i="1"/>
  <c r="U380" i="1"/>
  <c r="U319" i="1"/>
  <c r="U379" i="1"/>
  <c r="S376" i="1"/>
  <c r="S350" i="1"/>
  <c r="S298" i="1"/>
  <c r="S304" i="1" s="1"/>
  <c r="S382" i="1"/>
  <c r="S385" i="1" s="1"/>
  <c r="O35" i="1"/>
  <c r="O36" i="1" s="1"/>
  <c r="R38" i="1"/>
  <c r="R37" i="1" s="1"/>
  <c r="R269" i="1"/>
  <c r="R277" i="1"/>
  <c r="R278" i="1"/>
  <c r="R279" i="1"/>
  <c r="R276" i="1"/>
  <c r="U338" i="1"/>
  <c r="U311" i="1"/>
  <c r="P105" i="1"/>
  <c r="P131" i="1"/>
  <c r="P132" i="1" s="1"/>
  <c r="Q121" i="1"/>
  <c r="M84" i="1"/>
  <c r="M87" i="1" s="1"/>
  <c r="M88" i="1" s="1"/>
  <c r="P147" i="1"/>
  <c r="P215" i="1" s="1"/>
  <c r="P233" i="1" s="1"/>
  <c r="P52" i="1" s="1"/>
  <c r="S316" i="1"/>
  <c r="S332" i="1"/>
  <c r="S324" i="1"/>
  <c r="S325" i="1"/>
  <c r="S326" i="1"/>
  <c r="P65" i="1"/>
  <c r="P6" i="1"/>
  <c r="P32" i="1"/>
  <c r="P68" i="1"/>
  <c r="P23" i="1"/>
  <c r="P48" i="1"/>
  <c r="P21" i="1"/>
  <c r="P20" i="1"/>
  <c r="P44" i="1"/>
  <c r="P55" i="1"/>
  <c r="P22" i="1"/>
  <c r="P51" i="1"/>
  <c r="O62" i="1" l="1"/>
  <c r="S386" i="1"/>
  <c r="S8" i="1"/>
  <c r="Q126" i="1"/>
  <c r="Q213" i="1" s="1"/>
  <c r="N84" i="1"/>
  <c r="N87" i="1" s="1"/>
  <c r="N88" i="1" s="1"/>
  <c r="U329" i="1"/>
  <c r="U317" i="1"/>
  <c r="U310" i="1"/>
  <c r="U377" i="1"/>
  <c r="U375" i="1" s="1"/>
  <c r="Q6" i="1"/>
  <c r="Q65" i="1"/>
  <c r="Q23" i="1"/>
  <c r="Q68" i="1"/>
  <c r="Q32" i="1"/>
  <c r="Q48" i="1"/>
  <c r="Q20" i="1"/>
  <c r="Q21" i="1"/>
  <c r="Q55" i="1"/>
  <c r="Q22" i="1"/>
  <c r="Q44" i="1"/>
  <c r="Q51" i="1"/>
  <c r="S263" i="1"/>
  <c r="T281" i="1"/>
  <c r="S42" i="1"/>
  <c r="S116" i="1"/>
  <c r="P45" i="1"/>
  <c r="P54" i="1" s="1"/>
  <c r="Q108" i="1"/>
  <c r="R135" i="1"/>
  <c r="R5" i="1"/>
  <c r="R51" i="1" s="1"/>
  <c r="R9" i="1"/>
  <c r="T376" i="1"/>
  <c r="T350" i="1"/>
  <c r="T298" i="1"/>
  <c r="T304" i="1" s="1"/>
  <c r="T382" i="1"/>
  <c r="T385" i="1" s="1"/>
  <c r="T332" i="1"/>
  <c r="T316" i="1"/>
  <c r="T324" i="1"/>
  <c r="T325" i="1"/>
  <c r="T326" i="1"/>
  <c r="O82" i="1"/>
  <c r="O59" i="1"/>
  <c r="O60" i="1" s="1"/>
  <c r="O63" i="1"/>
  <c r="P25" i="1"/>
  <c r="T323" i="1"/>
  <c r="Q19" i="1"/>
  <c r="P149" i="1"/>
  <c r="P150" i="1" s="1"/>
  <c r="R137" i="1" l="1"/>
  <c r="R214" i="1" s="1"/>
  <c r="O84" i="1"/>
  <c r="O87" i="1" s="1"/>
  <c r="O88" i="1" s="1"/>
  <c r="U332" i="1"/>
  <c r="U316" i="1"/>
  <c r="U324" i="1"/>
  <c r="U325" i="1"/>
  <c r="U326" i="1"/>
  <c r="S5" i="1"/>
  <c r="S19" i="1" s="1"/>
  <c r="S9" i="1"/>
  <c r="R68" i="1"/>
  <c r="R6" i="1"/>
  <c r="R32" i="1"/>
  <c r="R65" i="1"/>
  <c r="R23" i="1"/>
  <c r="R48" i="1"/>
  <c r="R20" i="1"/>
  <c r="R44" i="1"/>
  <c r="R55" i="1"/>
  <c r="R22" i="1"/>
  <c r="R21" i="1"/>
  <c r="S269" i="1"/>
  <c r="S38" i="1"/>
  <c r="S37" i="1" s="1"/>
  <c r="S277" i="1"/>
  <c r="S278" i="1"/>
  <c r="S279" i="1"/>
  <c r="S276" i="1"/>
  <c r="Q25" i="1"/>
  <c r="U323" i="1"/>
  <c r="P35" i="1"/>
  <c r="R19" i="1"/>
  <c r="Q128" i="1"/>
  <c r="Q129" i="1" s="1"/>
  <c r="P153" i="1"/>
  <c r="Q144" i="1"/>
  <c r="P106" i="1"/>
  <c r="P103" i="1" s="1"/>
  <c r="T386" i="1"/>
  <c r="T8" i="1"/>
  <c r="U350" i="1"/>
  <c r="U298" i="1"/>
  <c r="U304" i="1" s="1"/>
  <c r="U376" i="1"/>
  <c r="U382" i="1"/>
  <c r="U385" i="1" s="1"/>
  <c r="T296" i="1"/>
  <c r="T283" i="1"/>
  <c r="T124" i="1"/>
  <c r="T122" i="1" s="1"/>
  <c r="T224" i="1" s="1"/>
  <c r="R139" i="1" l="1"/>
  <c r="R140" i="1" s="1"/>
  <c r="U386" i="1"/>
  <c r="U8" i="1"/>
  <c r="Q147" i="1"/>
  <c r="Q215" i="1" s="1"/>
  <c r="P184" i="1"/>
  <c r="P177" i="1"/>
  <c r="Q131" i="1"/>
  <c r="Q132" i="1" s="1"/>
  <c r="Q105" i="1"/>
  <c r="R121" i="1"/>
  <c r="S68" i="1"/>
  <c r="S23" i="1"/>
  <c r="S32" i="1"/>
  <c r="S6" i="1"/>
  <c r="S65" i="1"/>
  <c r="S48" i="1"/>
  <c r="S22" i="1"/>
  <c r="S44" i="1"/>
  <c r="S55" i="1"/>
  <c r="S21" i="1"/>
  <c r="S20" i="1"/>
  <c r="T5" i="1"/>
  <c r="T19" i="1"/>
  <c r="T9" i="1"/>
  <c r="P36" i="1"/>
  <c r="P62" i="1"/>
  <c r="S51" i="1"/>
  <c r="R108" i="1"/>
  <c r="S135" i="1"/>
  <c r="U281" i="1"/>
  <c r="T42" i="1"/>
  <c r="T263" i="1"/>
  <c r="T116" i="1"/>
  <c r="R25" i="1"/>
  <c r="U296" i="1" l="1"/>
  <c r="U283" i="1"/>
  <c r="U124" i="1"/>
  <c r="U122" i="1" s="1"/>
  <c r="U224" i="1" s="1"/>
  <c r="S137" i="1"/>
  <c r="S214" i="1" s="1"/>
  <c r="T68" i="1"/>
  <c r="T23" i="1"/>
  <c r="T32" i="1"/>
  <c r="T65" i="1"/>
  <c r="T6" i="1"/>
  <c r="T48" i="1"/>
  <c r="T22" i="1"/>
  <c r="T21" i="1"/>
  <c r="T55" i="1"/>
  <c r="T44" i="1"/>
  <c r="T20" i="1"/>
  <c r="S25" i="1"/>
  <c r="Q233" i="1"/>
  <c r="Q52" i="1" s="1"/>
  <c r="Q45" i="1"/>
  <c r="Q149" i="1"/>
  <c r="Q150" i="1" s="1"/>
  <c r="P63" i="1"/>
  <c r="P59" i="1"/>
  <c r="P60" i="1" s="1"/>
  <c r="P82" i="1"/>
  <c r="U19" i="1"/>
  <c r="U9" i="1"/>
  <c r="U5" i="1"/>
  <c r="T269" i="1"/>
  <c r="T38" i="1"/>
  <c r="T37" i="1" s="1"/>
  <c r="T277" i="1"/>
  <c r="T278" i="1"/>
  <c r="T279" i="1"/>
  <c r="T276" i="1"/>
  <c r="R128" i="1"/>
  <c r="R129" i="1" s="1"/>
  <c r="R126" i="1"/>
  <c r="R213" i="1" s="1"/>
  <c r="S121" i="1" l="1"/>
  <c r="R131" i="1"/>
  <c r="R132" i="1" s="1"/>
  <c r="R105" i="1"/>
  <c r="P84" i="1"/>
  <c r="P87" i="1" s="1"/>
  <c r="P88" i="1" s="1"/>
  <c r="U42" i="1"/>
  <c r="U263" i="1"/>
  <c r="U116" i="1"/>
  <c r="T25" i="1"/>
  <c r="T51" i="1"/>
  <c r="Q153" i="1"/>
  <c r="R144" i="1"/>
  <c r="Q106" i="1"/>
  <c r="Q103" i="1" s="1"/>
  <c r="Q54" i="1"/>
  <c r="Q35" i="1"/>
  <c r="U23" i="1"/>
  <c r="U32" i="1"/>
  <c r="U68" i="1"/>
  <c r="U65" i="1"/>
  <c r="U6" i="1"/>
  <c r="U48" i="1"/>
  <c r="U20" i="1"/>
  <c r="U44" i="1"/>
  <c r="U21" i="1"/>
  <c r="U22" i="1"/>
  <c r="U55" i="1"/>
  <c r="S139" i="1"/>
  <c r="S140" i="1" s="1"/>
  <c r="U269" i="1" l="1"/>
  <c r="U38" i="1"/>
  <c r="U37" i="1" s="1"/>
  <c r="U277" i="1"/>
  <c r="U279" i="1"/>
  <c r="U276" i="1"/>
  <c r="U278" i="1"/>
  <c r="S108" i="1"/>
  <c r="T135" i="1"/>
  <c r="R147" i="1"/>
  <c r="R215" i="1" s="1"/>
  <c r="R149" i="1"/>
  <c r="R150" i="1" s="1"/>
  <c r="Q177" i="1"/>
  <c r="Q184" i="1"/>
  <c r="U25" i="1"/>
  <c r="Q36" i="1"/>
  <c r="Q62" i="1"/>
  <c r="S126" i="1"/>
  <c r="S213" i="1" s="1"/>
  <c r="T137" i="1" l="1"/>
  <c r="T214" i="1" s="1"/>
  <c r="T139" i="1"/>
  <c r="T140" i="1" s="1"/>
  <c r="R153" i="1"/>
  <c r="R177" i="1" s="1"/>
  <c r="S144" i="1"/>
  <c r="R106" i="1"/>
  <c r="R103" i="1" s="1"/>
  <c r="R184" i="1"/>
  <c r="S128" i="1"/>
  <c r="S129" i="1" s="1"/>
  <c r="Q63" i="1"/>
  <c r="Q59" i="1"/>
  <c r="Q60" i="1" s="1"/>
  <c r="Q82" i="1"/>
  <c r="U51" i="1"/>
  <c r="R233" i="1"/>
  <c r="R52" i="1" s="1"/>
  <c r="R45" i="1"/>
  <c r="S147" i="1" l="1"/>
  <c r="S215" i="1" s="1"/>
  <c r="S149" i="1"/>
  <c r="S150" i="1" s="1"/>
  <c r="Q84" i="1"/>
  <c r="Q87" i="1" s="1"/>
  <c r="Q88" i="1" s="1"/>
  <c r="T108" i="1"/>
  <c r="U135" i="1"/>
  <c r="S131" i="1"/>
  <c r="S132" i="1" s="1"/>
  <c r="S105" i="1"/>
  <c r="T121" i="1"/>
  <c r="R54" i="1"/>
  <c r="R35" i="1"/>
  <c r="R36" i="1" l="1"/>
  <c r="R62" i="1"/>
  <c r="S106" i="1"/>
  <c r="S103" i="1" s="1"/>
  <c r="S153" i="1"/>
  <c r="T144" i="1"/>
  <c r="T126" i="1"/>
  <c r="T213" i="1" s="1"/>
  <c r="S233" i="1"/>
  <c r="S52" i="1" s="1"/>
  <c r="S45" i="1"/>
  <c r="U137" i="1"/>
  <c r="U214" i="1" s="1"/>
  <c r="R63" i="1" l="1"/>
  <c r="R59" i="1"/>
  <c r="R60" i="1" s="1"/>
  <c r="R82" i="1"/>
  <c r="T128" i="1"/>
  <c r="T129" i="1" s="1"/>
  <c r="T147" i="1"/>
  <c r="T215" i="1" s="1"/>
  <c r="T233" i="1" s="1"/>
  <c r="T52" i="1" s="1"/>
  <c r="T149" i="1"/>
  <c r="T150" i="1" s="1"/>
  <c r="S177" i="1"/>
  <c r="S184" i="1"/>
  <c r="U139" i="1"/>
  <c r="U140" i="1" s="1"/>
  <c r="U108" i="1" s="1"/>
  <c r="S54" i="1"/>
  <c r="S35" i="1"/>
  <c r="T106" i="1" l="1"/>
  <c r="T153" i="1"/>
  <c r="T184" i="1" s="1"/>
  <c r="U144" i="1"/>
  <c r="T131" i="1"/>
  <c r="T132" i="1" s="1"/>
  <c r="U121" i="1"/>
  <c r="T105" i="1"/>
  <c r="T103" i="1" s="1"/>
  <c r="S36" i="1"/>
  <c r="S62" i="1"/>
  <c r="R84" i="1"/>
  <c r="R87" i="1" s="1"/>
  <c r="R88" i="1" s="1"/>
  <c r="T45" i="1"/>
  <c r="T177" i="1"/>
  <c r="U126" i="1" l="1"/>
  <c r="U213" i="1" s="1"/>
  <c r="T54" i="1"/>
  <c r="T35" i="1"/>
  <c r="U147" i="1"/>
  <c r="U215" i="1" s="1"/>
  <c r="U233" i="1" s="1"/>
  <c r="U52" i="1" s="1"/>
  <c r="S63" i="1"/>
  <c r="S59" i="1"/>
  <c r="S60" i="1" s="1"/>
  <c r="S82" i="1"/>
  <c r="T36" i="1" l="1"/>
  <c r="T62" i="1"/>
  <c r="S84" i="1"/>
  <c r="S87" i="1" s="1"/>
  <c r="S88" i="1" s="1"/>
  <c r="U45" i="1"/>
  <c r="U128" i="1"/>
  <c r="U129" i="1" s="1"/>
  <c r="U149" i="1"/>
  <c r="U150" i="1" s="1"/>
  <c r="U106" i="1" l="1"/>
  <c r="U153" i="1"/>
  <c r="U105" i="1"/>
  <c r="U103" i="1" s="1"/>
  <c r="U131" i="1"/>
  <c r="U132" i="1" s="1"/>
  <c r="T82" i="1"/>
  <c r="T63" i="1"/>
  <c r="T59" i="1"/>
  <c r="T60" i="1" s="1"/>
  <c r="U54" i="1"/>
  <c r="U35" i="1"/>
  <c r="T84" i="1" l="1"/>
  <c r="T87" i="1"/>
  <c r="T88" i="1" s="1"/>
  <c r="U177" i="1"/>
  <c r="U184" i="1"/>
  <c r="U36" i="1"/>
  <c r="U62" i="1"/>
  <c r="U82" i="1" l="1"/>
  <c r="U63" i="1"/>
  <c r="U59" i="1"/>
  <c r="U60" i="1" s="1"/>
  <c r="U84" i="1" l="1"/>
  <c r="U87" i="1"/>
  <c r="U88" i="1" s="1"/>
</calcChain>
</file>

<file path=xl/sharedStrings.xml><?xml version="1.0" encoding="utf-8"?>
<sst xmlns="http://schemas.openxmlformats.org/spreadsheetml/2006/main" count="510" uniqueCount="229">
  <si>
    <t>Days of operation</t>
    <phoneticPr fontId="3" type="noConversion"/>
  </si>
  <si>
    <t>&gt;&gt;2018.09 ipo</t>
    <phoneticPr fontId="3" type="noConversion"/>
  </si>
  <si>
    <t>IS</t>
    <phoneticPr fontId="3" type="noConversion"/>
  </si>
  <si>
    <t>RMB Mn</t>
    <phoneticPr fontId="3" type="noConversion"/>
  </si>
  <si>
    <t>2015</t>
    <phoneticPr fontId="3" type="noConversion"/>
  </si>
  <si>
    <t>2016</t>
  </si>
  <si>
    <t>2017</t>
  </si>
  <si>
    <t>2018</t>
  </si>
  <si>
    <t>2019</t>
  </si>
  <si>
    <t>2020</t>
    <phoneticPr fontId="3" type="noConversion"/>
  </si>
  <si>
    <t>2021e</t>
    <phoneticPr fontId="3" type="noConversion"/>
  </si>
  <si>
    <t>2022e</t>
    <phoneticPr fontId="3" type="noConversion"/>
  </si>
  <si>
    <t>2023e</t>
    <phoneticPr fontId="3" type="noConversion"/>
  </si>
  <si>
    <t>2024e</t>
    <phoneticPr fontId="3" type="noConversion"/>
  </si>
  <si>
    <t>2025e</t>
    <phoneticPr fontId="3" type="noConversion"/>
  </si>
  <si>
    <t>2026e</t>
    <phoneticPr fontId="3" type="noConversion"/>
  </si>
  <si>
    <t>2027e</t>
    <phoneticPr fontId="3" type="noConversion"/>
  </si>
  <si>
    <t>2028e</t>
    <phoneticPr fontId="3" type="noConversion"/>
  </si>
  <si>
    <t>2029e</t>
    <phoneticPr fontId="3" type="noConversion"/>
  </si>
  <si>
    <t>2030e</t>
    <phoneticPr fontId="3" type="noConversion"/>
  </si>
  <si>
    <t>1H17</t>
    <phoneticPr fontId="3" type="noConversion"/>
  </si>
  <si>
    <t>2H17</t>
    <phoneticPr fontId="3" type="noConversion"/>
  </si>
  <si>
    <t>1H18</t>
    <phoneticPr fontId="3" type="noConversion"/>
  </si>
  <si>
    <t>2H18</t>
  </si>
  <si>
    <t>1H19</t>
  </si>
  <si>
    <t>2H19</t>
  </si>
  <si>
    <t>1H20</t>
  </si>
  <si>
    <t>2H20</t>
  </si>
  <si>
    <t>Revenues</t>
    <phoneticPr fontId="3" type="noConversion"/>
  </si>
  <si>
    <t>Consolidated</t>
    <phoneticPr fontId="3" type="noConversion"/>
  </si>
  <si>
    <t>yoy%</t>
    <phoneticPr fontId="3" type="noConversion"/>
  </si>
  <si>
    <t>海底捞餐厅</t>
    <phoneticPr fontId="3" type="noConversion"/>
  </si>
  <si>
    <t>其他餐厅</t>
    <phoneticPr fontId="3" type="noConversion"/>
  </si>
  <si>
    <t>外卖业务</t>
    <phoneticPr fontId="3" type="noConversion"/>
  </si>
  <si>
    <t>调味品及食材销售</t>
    <phoneticPr fontId="3" type="noConversion"/>
  </si>
  <si>
    <t>其他</t>
    <phoneticPr fontId="3" type="noConversion"/>
  </si>
  <si>
    <t>Mix%</t>
    <phoneticPr fontId="3" type="noConversion"/>
  </si>
  <si>
    <t>Raw materials and consumables used</t>
    <phoneticPr fontId="3" type="noConversion"/>
  </si>
  <si>
    <t>食材成本</t>
    <phoneticPr fontId="3" type="noConversion"/>
  </si>
  <si>
    <t>as % of total COGS</t>
    <phoneticPr fontId="3" type="noConversion"/>
  </si>
  <si>
    <t>易耗品</t>
    <phoneticPr fontId="3" type="noConversion"/>
  </si>
  <si>
    <t>餐厅员工制服</t>
    <phoneticPr fontId="3" type="noConversion"/>
  </si>
  <si>
    <t>Gross profit</t>
    <phoneticPr fontId="3" type="noConversion"/>
  </si>
  <si>
    <t>GPM</t>
    <phoneticPr fontId="3" type="noConversion"/>
  </si>
  <si>
    <t>Opex</t>
    <phoneticPr fontId="3" type="noConversion"/>
  </si>
  <si>
    <t>Staff costs</t>
    <phoneticPr fontId="3" type="noConversion"/>
  </si>
  <si>
    <t># of employees ('000)</t>
    <phoneticPr fontId="3" type="noConversion"/>
  </si>
  <si>
    <t>avg. employees per store</t>
    <phoneticPr fontId="3" type="noConversion"/>
  </si>
  <si>
    <t>avg. salary ('000 RMB)</t>
    <phoneticPr fontId="3" type="noConversion"/>
  </si>
  <si>
    <t>Rentals and related expenses</t>
    <phoneticPr fontId="3" type="noConversion"/>
  </si>
  <si>
    <t>Rental related expense per store</t>
    <phoneticPr fontId="3" type="noConversion"/>
  </si>
  <si>
    <t>Utilities expenses</t>
    <phoneticPr fontId="3" type="noConversion"/>
  </si>
  <si>
    <t>D&amp;A</t>
    <phoneticPr fontId="3" type="noConversion"/>
  </si>
  <si>
    <t>Travelling and related expenses</t>
    <phoneticPr fontId="3" type="noConversion"/>
  </si>
  <si>
    <t>Other expenses</t>
    <phoneticPr fontId="3" type="noConversion"/>
  </si>
  <si>
    <t>as % of rev</t>
    <phoneticPr fontId="3" type="noConversion"/>
  </si>
  <si>
    <t>Staff costs</t>
  </si>
  <si>
    <t>Adj. rental expenses</t>
    <phoneticPr fontId="3" type="noConversion"/>
  </si>
  <si>
    <t>Utilities expenses</t>
  </si>
  <si>
    <t>Adj. D&amp;A</t>
    <phoneticPr fontId="3" type="noConversion"/>
  </si>
  <si>
    <t>Travelling and related expenses</t>
  </si>
  <si>
    <t>Other expenses</t>
  </si>
  <si>
    <t>Adj. EBITDA</t>
    <phoneticPr fontId="3" type="noConversion"/>
  </si>
  <si>
    <t>EBITDA margin</t>
    <phoneticPr fontId="3" type="noConversion"/>
  </si>
  <si>
    <t>EBIT</t>
    <phoneticPr fontId="3" type="noConversion"/>
  </si>
  <si>
    <t>OPM</t>
    <phoneticPr fontId="3" type="noConversion"/>
  </si>
  <si>
    <t>Other income</t>
    <phoneticPr fontId="3" type="noConversion"/>
  </si>
  <si>
    <t>Interest income</t>
  </si>
  <si>
    <t>Interest yield</t>
    <phoneticPr fontId="3" type="noConversion"/>
  </si>
  <si>
    <t>Gov't grant</t>
  </si>
  <si>
    <t>Others</t>
  </si>
  <si>
    <t>Profits from JVs and associate</t>
    <phoneticPr fontId="3" type="noConversion"/>
  </si>
  <si>
    <t>Other gains and losses</t>
    <phoneticPr fontId="3" type="noConversion"/>
  </si>
  <si>
    <t>Finance costs</t>
    <phoneticPr fontId="3" type="noConversion"/>
  </si>
  <si>
    <t>Interest on lease liabilities</t>
    <phoneticPr fontId="3" type="noConversion"/>
  </si>
  <si>
    <t>Interest on borrowings</t>
    <phoneticPr fontId="3" type="noConversion"/>
  </si>
  <si>
    <t>Interest rate</t>
    <phoneticPr fontId="3" type="noConversion"/>
  </si>
  <si>
    <t>Other interest expenses</t>
    <phoneticPr fontId="3" type="noConversion"/>
  </si>
  <si>
    <t>EBT</t>
    <phoneticPr fontId="3" type="noConversion"/>
  </si>
  <si>
    <t>Income tax expenses</t>
    <phoneticPr fontId="3" type="noConversion"/>
  </si>
  <si>
    <t>Effective tax rate</t>
    <phoneticPr fontId="3" type="noConversion"/>
  </si>
  <si>
    <t>Net profit</t>
    <phoneticPr fontId="3" type="noConversion"/>
  </si>
  <si>
    <t>NPM</t>
    <phoneticPr fontId="3" type="noConversion"/>
  </si>
  <si>
    <t>Equityholders of the Company</t>
    <phoneticPr fontId="3" type="noConversion"/>
  </si>
  <si>
    <t>NCI</t>
    <phoneticPr fontId="3" type="noConversion"/>
  </si>
  <si>
    <t>NCI%</t>
    <phoneticPr fontId="3" type="noConversion"/>
  </si>
  <si>
    <t># of shares</t>
    <phoneticPr fontId="3" type="noConversion"/>
  </si>
  <si>
    <t>Basic</t>
    <phoneticPr fontId="3" type="noConversion"/>
  </si>
  <si>
    <t>Diluted</t>
    <phoneticPr fontId="3" type="noConversion"/>
  </si>
  <si>
    <t>EPS</t>
    <phoneticPr fontId="3" type="noConversion"/>
  </si>
  <si>
    <t>BS</t>
    <phoneticPr fontId="3" type="noConversion"/>
  </si>
  <si>
    <t>Non-CA</t>
    <phoneticPr fontId="3" type="noConversion"/>
  </si>
  <si>
    <t>PP&amp;E</t>
    <phoneticPr fontId="3" type="noConversion"/>
  </si>
  <si>
    <t>ROU assets</t>
    <phoneticPr fontId="3" type="noConversion"/>
  </si>
  <si>
    <t>Goodwill</t>
    <phoneticPr fontId="3" type="noConversion"/>
  </si>
  <si>
    <t>Intangibles</t>
    <phoneticPr fontId="3" type="noConversion"/>
  </si>
  <si>
    <t>Equity-method investment</t>
    <phoneticPr fontId="3" type="noConversion"/>
  </si>
  <si>
    <t>Amount due from related parties</t>
    <phoneticPr fontId="3" type="noConversion"/>
  </si>
  <si>
    <t>FA at FVTPL</t>
    <phoneticPr fontId="3" type="noConversion"/>
  </si>
  <si>
    <t>FA at FVTOCI</t>
    <phoneticPr fontId="3" type="noConversion"/>
  </si>
  <si>
    <t>Other financial assets</t>
    <phoneticPr fontId="3" type="noConversion"/>
  </si>
  <si>
    <t>Deferred tax assets</t>
    <phoneticPr fontId="3" type="noConversion"/>
  </si>
  <si>
    <t>Deposits in a financial institution</t>
    <phoneticPr fontId="3" type="noConversion"/>
  </si>
  <si>
    <t>Rental deposits</t>
    <phoneticPr fontId="3" type="noConversion"/>
  </si>
  <si>
    <t>deposits per store</t>
    <phoneticPr fontId="3" type="noConversion"/>
  </si>
  <si>
    <t>Other non-CA</t>
    <phoneticPr fontId="3" type="noConversion"/>
  </si>
  <si>
    <t>PP&amp;E schedule</t>
    <phoneticPr fontId="3" type="noConversion"/>
  </si>
  <si>
    <t>BGN</t>
    <phoneticPr fontId="3" type="noConversion"/>
  </si>
  <si>
    <t>Capex</t>
    <phoneticPr fontId="3" type="noConversion"/>
  </si>
  <si>
    <t>On newly opened store</t>
    <phoneticPr fontId="3" type="noConversion"/>
  </si>
  <si>
    <t>On existing stores</t>
    <phoneticPr fontId="3" type="noConversion"/>
  </si>
  <si>
    <t>Capex per existing store</t>
    <phoneticPr fontId="3" type="noConversion"/>
  </si>
  <si>
    <t>Dep yrs</t>
    <phoneticPr fontId="3" type="noConversion"/>
  </si>
  <si>
    <t>END(cal.)</t>
    <phoneticPr fontId="3" type="noConversion"/>
  </si>
  <si>
    <t>END(reported)</t>
    <phoneticPr fontId="3" type="noConversion"/>
  </si>
  <si>
    <t>Diff</t>
    <phoneticPr fontId="3" type="noConversion"/>
  </si>
  <si>
    <t>PP&amp;E per Haidilao store</t>
    <phoneticPr fontId="3" type="noConversion"/>
  </si>
  <si>
    <t>Intangibles schedule</t>
    <phoneticPr fontId="3" type="noConversion"/>
  </si>
  <si>
    <t>Amort yrs</t>
    <phoneticPr fontId="3" type="noConversion"/>
  </si>
  <si>
    <t>ROU assets schedule</t>
    <phoneticPr fontId="3" type="noConversion"/>
  </si>
  <si>
    <t>Additions</t>
    <phoneticPr fontId="3" type="noConversion"/>
  </si>
  <si>
    <t>per net added store</t>
    <phoneticPr fontId="3" type="noConversion"/>
  </si>
  <si>
    <t>Lease liabilities total</t>
    <phoneticPr fontId="3" type="noConversion"/>
  </si>
  <si>
    <t>as % of ROU assets balance</t>
    <phoneticPr fontId="3" type="noConversion"/>
  </si>
  <si>
    <t>CA</t>
    <phoneticPr fontId="3" type="noConversion"/>
  </si>
  <si>
    <t>Inventories</t>
    <phoneticPr fontId="3" type="noConversion"/>
  </si>
  <si>
    <t>Trade and other receivables and prepayments</t>
    <phoneticPr fontId="3" type="noConversion"/>
  </si>
  <si>
    <t>Amounts due from related parties</t>
    <phoneticPr fontId="3" type="noConversion"/>
  </si>
  <si>
    <t>Pledged bank deposits</t>
    <phoneticPr fontId="3" type="noConversion"/>
  </si>
  <si>
    <t>Bank balances and cash</t>
    <phoneticPr fontId="3" type="noConversion"/>
  </si>
  <si>
    <t>Total assets</t>
    <phoneticPr fontId="3" type="noConversion"/>
  </si>
  <si>
    <t>CL</t>
    <phoneticPr fontId="3" type="noConversion"/>
  </si>
  <si>
    <t>Trade payables</t>
    <phoneticPr fontId="3" type="noConversion"/>
  </si>
  <si>
    <t>Other payables</t>
    <phoneticPr fontId="3" type="noConversion"/>
  </si>
  <si>
    <t>Amounts due to related parties</t>
    <phoneticPr fontId="3" type="noConversion"/>
  </si>
  <si>
    <t>Dividend payable</t>
    <phoneticPr fontId="3" type="noConversion"/>
  </si>
  <si>
    <t>Tax payable</t>
    <phoneticPr fontId="3" type="noConversion"/>
  </si>
  <si>
    <t>Borrowings</t>
    <phoneticPr fontId="3" type="noConversion"/>
  </si>
  <si>
    <t>Lease liabilities</t>
    <phoneticPr fontId="3" type="noConversion"/>
  </si>
  <si>
    <t>Contract liabilities</t>
    <phoneticPr fontId="3" type="noConversion"/>
  </si>
  <si>
    <t>Non-CL</t>
    <phoneticPr fontId="3" type="noConversion"/>
  </si>
  <si>
    <t>Deferred tax liabilities</t>
    <phoneticPr fontId="3" type="noConversion"/>
  </si>
  <si>
    <t>Provisions</t>
    <phoneticPr fontId="3" type="noConversion"/>
  </si>
  <si>
    <t>Total liabilities</t>
    <phoneticPr fontId="3" type="noConversion"/>
  </si>
  <si>
    <t>Equity attributable to owners of the Company</t>
    <phoneticPr fontId="3" type="noConversion"/>
  </si>
  <si>
    <t>Share capital</t>
    <phoneticPr fontId="3" type="noConversion"/>
  </si>
  <si>
    <t>Reserves</t>
    <phoneticPr fontId="3" type="noConversion"/>
  </si>
  <si>
    <t>Non-controlling interests</t>
    <phoneticPr fontId="3" type="noConversion"/>
  </si>
  <si>
    <t>Total equity</t>
    <phoneticPr fontId="3" type="noConversion"/>
  </si>
  <si>
    <t>check</t>
    <phoneticPr fontId="3" type="noConversion"/>
  </si>
  <si>
    <t>BVPS</t>
    <phoneticPr fontId="3" type="noConversion"/>
  </si>
  <si>
    <t>NWC</t>
    <phoneticPr fontId="3" type="noConversion"/>
  </si>
  <si>
    <t>Receivables and prepaids</t>
    <phoneticPr fontId="3" type="noConversion"/>
  </si>
  <si>
    <t>Trade and other payables</t>
    <phoneticPr fontId="3" type="noConversion"/>
  </si>
  <si>
    <t>Other NWC</t>
    <phoneticPr fontId="3" type="noConversion"/>
  </si>
  <si>
    <t>CFS</t>
    <phoneticPr fontId="3" type="noConversion"/>
  </si>
  <si>
    <t>2020e</t>
    <phoneticPr fontId="3" type="noConversion"/>
  </si>
  <si>
    <t>Net cash from/(used in) operating activities</t>
    <phoneticPr fontId="3" type="noConversion"/>
  </si>
  <si>
    <t>+Dep of PP&amp;E</t>
    <phoneticPr fontId="3" type="noConversion"/>
  </si>
  <si>
    <t>+Amort of intangibles</t>
    <phoneticPr fontId="3" type="noConversion"/>
  </si>
  <si>
    <t>+Dep of ROU assets</t>
    <phoneticPr fontId="3" type="noConversion"/>
  </si>
  <si>
    <t>-Chg in NWC</t>
    <phoneticPr fontId="3" type="noConversion"/>
  </si>
  <si>
    <t>-Non-op gains/+losses</t>
    <phoneticPr fontId="3" type="noConversion"/>
  </si>
  <si>
    <t>Others</t>
    <phoneticPr fontId="3" type="noConversion"/>
  </si>
  <si>
    <t>Adj. OCF</t>
    <phoneticPr fontId="3" type="noConversion"/>
  </si>
  <si>
    <t>Net cash from/(used in) investing activities</t>
    <phoneticPr fontId="3" type="noConversion"/>
  </si>
  <si>
    <t>Capex on PP&amp;E</t>
    <phoneticPr fontId="3" type="noConversion"/>
  </si>
  <si>
    <t>Capex on intangibles</t>
    <phoneticPr fontId="3" type="noConversion"/>
  </si>
  <si>
    <t>Business acquisition, net of cash</t>
    <phoneticPr fontId="3" type="noConversion"/>
  </si>
  <si>
    <t>Chg in pledged bank deposits/Fis deposits</t>
    <phoneticPr fontId="3" type="noConversion"/>
  </si>
  <si>
    <t>Net cash from/(used in) financing activities</t>
    <phoneticPr fontId="3" type="noConversion"/>
  </si>
  <si>
    <t>New debt</t>
    <phoneticPr fontId="3" type="noConversion"/>
  </si>
  <si>
    <t>Loans from related parties</t>
    <phoneticPr fontId="3" type="noConversion"/>
  </si>
  <si>
    <t>Repayments of lease liabilities</t>
    <phoneticPr fontId="3" type="noConversion"/>
  </si>
  <si>
    <t>Dividends paid</t>
    <phoneticPr fontId="3" type="noConversion"/>
  </si>
  <si>
    <t>Equity contribution by shareholders</t>
    <phoneticPr fontId="3" type="noConversion"/>
  </si>
  <si>
    <t>Net chg in cash</t>
    <phoneticPr fontId="3" type="noConversion"/>
  </si>
  <si>
    <t>FX impact</t>
    <phoneticPr fontId="3" type="noConversion"/>
  </si>
  <si>
    <t>Net cash used in Sichuan Haidilao Branches</t>
    <phoneticPr fontId="3" type="noConversion"/>
  </si>
  <si>
    <t>END</t>
    <phoneticPr fontId="3" type="noConversion"/>
  </si>
  <si>
    <t>Adj. FCFF</t>
    <phoneticPr fontId="3" type="noConversion"/>
  </si>
  <si>
    <t>FCFF margin</t>
    <phoneticPr fontId="3" type="noConversion"/>
  </si>
  <si>
    <t>FCFF yield</t>
    <phoneticPr fontId="3" type="noConversion"/>
  </si>
  <si>
    <t>DCF</t>
    <phoneticPr fontId="3" type="noConversion"/>
  </si>
  <si>
    <t>Haidilao op metrics</t>
    <phoneticPr fontId="3" type="noConversion"/>
  </si>
  <si>
    <r>
      <rPr>
        <sz val="12"/>
        <color theme="1"/>
        <rFont val="Arial"/>
        <family val="3"/>
      </rPr>
      <t>常住人口</t>
    </r>
    <r>
      <rPr>
        <sz val="12"/>
        <color theme="1"/>
        <rFont val="Arial"/>
        <family val="2"/>
      </rPr>
      <t>(Mn)</t>
    </r>
    <phoneticPr fontId="3" type="noConversion"/>
  </si>
  <si>
    <t>**海底捞口径</t>
    <phoneticPr fontId="3" type="noConversion"/>
  </si>
  <si>
    <t>Tier 1</t>
    <phoneticPr fontId="3" type="noConversion"/>
  </si>
  <si>
    <t>Tier 2</t>
    <phoneticPr fontId="3" type="noConversion"/>
  </si>
  <si>
    <t>Blended metrics</t>
    <phoneticPr fontId="3" type="noConversion"/>
  </si>
  <si>
    <t># of restaurants</t>
    <phoneticPr fontId="3" type="noConversion"/>
  </si>
  <si>
    <t>Tier 3 and below</t>
    <phoneticPr fontId="3" type="noConversion"/>
  </si>
  <si>
    <t>Overseas</t>
    <phoneticPr fontId="3" type="noConversion"/>
  </si>
  <si>
    <t>Opened</t>
    <phoneticPr fontId="3" type="noConversion"/>
  </si>
  <si>
    <t>growth rate</t>
    <phoneticPr fontId="3" type="noConversion"/>
  </si>
  <si>
    <t>Closed</t>
    <phoneticPr fontId="3" type="noConversion"/>
  </si>
  <si>
    <t>Net adds</t>
    <phoneticPr fontId="3" type="noConversion"/>
  </si>
  <si>
    <t>Avg. rev per guest (RMB)</t>
    <phoneticPr fontId="3" type="noConversion"/>
  </si>
  <si>
    <t>Total # of guests served (Mn)</t>
    <phoneticPr fontId="3" type="noConversion"/>
  </si>
  <si>
    <t>penetration rate</t>
    <phoneticPr fontId="3" type="noConversion"/>
  </si>
  <si>
    <t>Avg. guests per day per restaurant</t>
    <phoneticPr fontId="3" type="noConversion"/>
  </si>
  <si>
    <t>Total restaurant days</t>
    <phoneticPr fontId="3" type="noConversion"/>
  </si>
  <si>
    <t xml:space="preserve">avg. days of operation (Instrumental) </t>
    <phoneticPr fontId="3" type="noConversion"/>
  </si>
  <si>
    <t>Avg. daily restaurant sales ('000 RMB)</t>
    <phoneticPr fontId="3" type="noConversion"/>
  </si>
  <si>
    <t>Table turnover rate (times/day)</t>
    <phoneticPr fontId="3" type="noConversion"/>
  </si>
  <si>
    <t>Avg. guests per time per day per restaurant</t>
    <phoneticPr fontId="3" type="noConversion"/>
  </si>
  <si>
    <t>Gross restaurant rev</t>
    <phoneticPr fontId="3" type="noConversion"/>
  </si>
  <si>
    <t>Less: Customer loyalty program</t>
    <phoneticPr fontId="3" type="noConversion"/>
  </si>
  <si>
    <t>as % of gross rev</t>
    <phoneticPr fontId="3" type="noConversion"/>
  </si>
  <si>
    <t>Net restaurant rev</t>
    <phoneticPr fontId="3" type="noConversion"/>
  </si>
  <si>
    <t>Restaurant level operating profit</t>
    <phoneticPr fontId="3" type="noConversion"/>
  </si>
  <si>
    <t>Restaurant level OPM</t>
    <phoneticPr fontId="3" type="noConversion"/>
  </si>
  <si>
    <t>Same store metrics</t>
    <phoneticPr fontId="3" type="noConversion"/>
  </si>
  <si>
    <r>
      <t>**年内</t>
    </r>
    <r>
      <rPr>
        <i/>
        <sz val="8"/>
        <color theme="1"/>
        <rFont val="SimSun"/>
        <family val="3"/>
        <charset val="134"/>
      </rPr>
      <t>运营超过</t>
    </r>
    <r>
      <rPr>
        <i/>
        <sz val="8"/>
        <color theme="1"/>
        <rFont val="Arial"/>
        <family val="2"/>
      </rPr>
      <t>300</t>
    </r>
    <r>
      <rPr>
        <i/>
        <sz val="8"/>
        <color theme="1"/>
        <rFont val="SimSun"/>
        <family val="3"/>
        <charset val="134"/>
      </rPr>
      <t>天的餐厅/半年内运营超过120天的餐厅</t>
    </r>
    <phoneticPr fontId="3" type="noConversion"/>
  </si>
  <si>
    <t># of same stores under comparison</t>
    <phoneticPr fontId="3" type="noConversion"/>
  </si>
  <si>
    <t>as % of period end stores</t>
    <phoneticPr fontId="3" type="noConversion"/>
  </si>
  <si>
    <t>Current period</t>
    <phoneticPr fontId="3" type="noConversion"/>
  </si>
  <si>
    <t>Same store total sales</t>
    <phoneticPr fontId="3" type="noConversion"/>
  </si>
  <si>
    <t>SSS per day per restaurant('000 RMB)</t>
    <phoneticPr fontId="3" type="noConversion"/>
  </si>
  <si>
    <t>SS restaurant days</t>
    <phoneticPr fontId="3" type="noConversion"/>
  </si>
  <si>
    <t>SS table turnover rate (times/day)</t>
    <phoneticPr fontId="3" type="noConversion"/>
  </si>
  <si>
    <t>Last period</t>
    <phoneticPr fontId="3" type="noConversion"/>
  </si>
  <si>
    <t>SSS per day per restaurant ('000 RMB)</t>
    <phoneticPr fontId="3" type="noConversion"/>
  </si>
  <si>
    <t>YoY growth</t>
    <phoneticPr fontId="3" type="noConversion"/>
  </si>
  <si>
    <t>SSSG</t>
    <phoneticPr fontId="3" type="noConversion"/>
  </si>
  <si>
    <t>SS table turnover growth</t>
    <phoneticPr fontId="3" type="noConversion"/>
  </si>
  <si>
    <t>本文件仅用于案例示范，不构成投资建议，所有参数假设不必当真。</t>
    <phoneticPr fontId="3" type="noConversion"/>
  </si>
  <si>
    <t>如有言中，纯属侥幸。</t>
    <phoneticPr fontId="3" type="noConversion"/>
  </si>
  <si>
    <t>本期话题：负债（interest-bearing debt/borrowings）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</si>
</sst>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(* #,##0_);_(* \(#,##0\);_(* &quot;-&quot;??_);_(@_)"/>
    <numFmt numFmtId="177" formatCode="0.0%"/>
    <numFmt numFmtId="178" formatCode="_(* #,##0.0_);_(* \(#,##0.0\);_(* &quot;-&quot;??_);_(@_)"/>
  </numFmts>
  <fonts count="36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sz val="12"/>
      <color rgb="FF0432FF"/>
      <name val="Arial"/>
      <family val="2"/>
    </font>
    <font>
      <sz val="12"/>
      <color rgb="FFC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432FF"/>
      <name val="Arial"/>
      <family val="2"/>
    </font>
    <font>
      <i/>
      <sz val="12"/>
      <color theme="8"/>
      <name val="Arial"/>
      <family val="2"/>
    </font>
    <font>
      <i/>
      <sz val="12"/>
      <color rgb="FFC00000"/>
      <name val="Arial"/>
      <family val="2"/>
    </font>
    <font>
      <sz val="12"/>
      <color theme="8"/>
      <name val="Arial"/>
      <family val="2"/>
    </font>
    <font>
      <u val="singleAccounting"/>
      <sz val="12"/>
      <color theme="8"/>
      <name val="Arial"/>
      <family val="2"/>
    </font>
    <font>
      <sz val="12"/>
      <color theme="1" tint="0.499984740745262"/>
      <name val="Arial"/>
      <family val="2"/>
    </font>
    <font>
      <sz val="12"/>
      <color theme="5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3"/>
    </font>
    <font>
      <i/>
      <u val="singleAccounting"/>
      <sz val="12"/>
      <color theme="8"/>
      <name val="Arial"/>
      <family val="2"/>
    </font>
    <font>
      <i/>
      <sz val="12"/>
      <color theme="1"/>
      <name val="Arial"/>
      <family val="2"/>
    </font>
    <font>
      <i/>
      <sz val="12"/>
      <color theme="1" tint="0.499984740745262"/>
      <name val="Arial"/>
      <family val="2"/>
    </font>
    <font>
      <i/>
      <u val="singleAccounting"/>
      <sz val="12"/>
      <color theme="1" tint="0.499984740745262"/>
      <name val="Arial"/>
      <family val="2"/>
    </font>
    <font>
      <u val="singleAccounting"/>
      <sz val="12"/>
      <color theme="1"/>
      <name val="Arial"/>
      <family val="2"/>
    </font>
    <font>
      <b/>
      <sz val="12"/>
      <color rgb="FFC00000"/>
      <name val="Arial"/>
      <family val="2"/>
    </font>
    <font>
      <i/>
      <u/>
      <sz val="12"/>
      <color theme="8"/>
      <name val="Arial"/>
      <family val="2"/>
    </font>
    <font>
      <b/>
      <sz val="12"/>
      <color theme="8"/>
      <name val="Arial"/>
      <family val="2"/>
    </font>
    <font>
      <b/>
      <u val="singleAccounting"/>
      <sz val="12"/>
      <color theme="8"/>
      <name val="Arial"/>
      <family val="2"/>
    </font>
    <font>
      <i/>
      <sz val="8"/>
      <color theme="1"/>
      <name val="Arial"/>
      <family val="2"/>
    </font>
    <font>
      <i/>
      <sz val="8"/>
      <color theme="1"/>
      <name val="SimSun"/>
      <family val="3"/>
      <charset val="134"/>
    </font>
    <font>
      <b/>
      <u val="singleAccounting"/>
      <sz val="12"/>
      <color theme="1"/>
      <name val="Arial"/>
      <family val="2"/>
    </font>
    <font>
      <i/>
      <sz val="8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6"/>
      <color rgb="FFC00000"/>
      <name val="SimSun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176" fontId="2" fillId="2" borderId="0" xfId="1" applyNumberFormat="1" applyFont="1" applyFill="1">
      <alignment vertical="center"/>
    </xf>
    <xf numFmtId="176" fontId="4" fillId="2" borderId="0" xfId="1" applyNumberFormat="1" applyFont="1" applyFill="1">
      <alignment vertical="center"/>
    </xf>
    <xf numFmtId="176" fontId="5" fillId="2" borderId="0" xfId="1" applyNumberFormat="1" applyFont="1" applyFill="1">
      <alignment vertical="center"/>
    </xf>
    <xf numFmtId="49" fontId="6" fillId="3" borderId="0" xfId="1" applyNumberFormat="1" applyFont="1" applyFill="1">
      <alignment vertical="center"/>
    </xf>
    <xf numFmtId="49" fontId="6" fillId="3" borderId="0" xfId="1" applyNumberFormat="1" applyFont="1" applyFill="1" applyAlignment="1">
      <alignment horizontal="center" vertical="center"/>
    </xf>
    <xf numFmtId="176" fontId="7" fillId="2" borderId="0" xfId="1" applyNumberFormat="1" applyFont="1" applyFill="1">
      <alignment vertical="center"/>
    </xf>
    <xf numFmtId="176" fontId="8" fillId="2" borderId="0" xfId="1" applyNumberFormat="1" applyFont="1" applyFill="1">
      <alignment vertical="center"/>
    </xf>
    <xf numFmtId="177" fontId="9" fillId="2" borderId="0" xfId="2" applyNumberFormat="1" applyFont="1" applyFill="1">
      <alignment vertical="center"/>
    </xf>
    <xf numFmtId="177" fontId="10" fillId="2" borderId="0" xfId="2" applyNumberFormat="1" applyFont="1" applyFill="1">
      <alignment vertical="center"/>
    </xf>
    <xf numFmtId="176" fontId="11" fillId="2" borderId="0" xfId="1" applyNumberFormat="1" applyFont="1" applyFill="1">
      <alignment vertical="center"/>
    </xf>
    <xf numFmtId="176" fontId="12" fillId="2" borderId="0" xfId="1" applyNumberFormat="1" applyFont="1" applyFill="1">
      <alignment vertical="center"/>
    </xf>
    <xf numFmtId="177" fontId="11" fillId="2" borderId="0" xfId="2" applyNumberFormat="1" applyFont="1" applyFill="1">
      <alignment vertical="center"/>
    </xf>
    <xf numFmtId="9" fontId="9" fillId="2" borderId="0" xfId="2" applyFont="1" applyFill="1">
      <alignment vertical="center"/>
    </xf>
    <xf numFmtId="176" fontId="13" fillId="2" borderId="0" xfId="1" applyNumberFormat="1" applyFont="1" applyFill="1">
      <alignment vertical="center"/>
    </xf>
    <xf numFmtId="43" fontId="11" fillId="2" borderId="0" xfId="1" applyFont="1" applyFill="1">
      <alignment vertical="center"/>
    </xf>
    <xf numFmtId="43" fontId="5" fillId="2" borderId="0" xfId="1" applyFont="1" applyFill="1">
      <alignment vertical="center"/>
    </xf>
    <xf numFmtId="177" fontId="5" fillId="2" borderId="0" xfId="2" applyNumberFormat="1" applyFont="1" applyFill="1">
      <alignment vertical="center"/>
    </xf>
    <xf numFmtId="176" fontId="14" fillId="2" borderId="0" xfId="1" quotePrefix="1" applyNumberFormat="1" applyFont="1" applyFill="1">
      <alignment vertical="center"/>
    </xf>
    <xf numFmtId="176" fontId="14" fillId="2" borderId="0" xfId="1" applyNumberFormat="1" applyFont="1" applyFill="1">
      <alignment vertical="center"/>
    </xf>
    <xf numFmtId="176" fontId="2" fillId="4" borderId="0" xfId="1" applyNumberFormat="1" applyFont="1" applyFill="1">
      <alignment vertical="center"/>
    </xf>
    <xf numFmtId="176" fontId="15" fillId="2" borderId="0" xfId="1" applyNumberFormat="1" applyFont="1" applyFill="1">
      <alignment vertical="center"/>
    </xf>
    <xf numFmtId="176" fontId="16" fillId="2" borderId="0" xfId="1" applyNumberFormat="1" applyFont="1" applyFill="1">
      <alignment vertical="center"/>
    </xf>
    <xf numFmtId="176" fontId="9" fillId="2" borderId="0" xfId="1" applyNumberFormat="1" applyFont="1" applyFill="1">
      <alignment vertical="center"/>
    </xf>
    <xf numFmtId="178" fontId="9" fillId="2" borderId="0" xfId="1" applyNumberFormat="1" applyFont="1" applyFill="1">
      <alignment vertical="center"/>
    </xf>
    <xf numFmtId="178" fontId="10" fillId="2" borderId="0" xfId="1" applyNumberFormat="1" applyFont="1" applyFill="1">
      <alignment vertical="center"/>
    </xf>
    <xf numFmtId="176" fontId="17" fillId="2" borderId="0" xfId="1" applyNumberFormat="1" applyFont="1" applyFill="1">
      <alignment vertical="center"/>
    </xf>
    <xf numFmtId="43" fontId="2" fillId="2" borderId="0" xfId="1" applyFont="1" applyFill="1">
      <alignment vertical="center"/>
    </xf>
    <xf numFmtId="176" fontId="2" fillId="5" borderId="0" xfId="1" applyNumberFormat="1" applyFont="1" applyFill="1">
      <alignment vertical="center"/>
    </xf>
    <xf numFmtId="176" fontId="2" fillId="2" borderId="0" xfId="1" quotePrefix="1" applyNumberFormat="1" applyFont="1" applyFill="1">
      <alignment vertical="center"/>
    </xf>
    <xf numFmtId="176" fontId="18" fillId="2" borderId="0" xfId="1" applyNumberFormat="1" applyFont="1" applyFill="1">
      <alignment vertical="center"/>
    </xf>
    <xf numFmtId="176" fontId="19" fillId="2" borderId="0" xfId="1" applyNumberFormat="1" applyFont="1" applyFill="1">
      <alignment vertical="center"/>
    </xf>
    <xf numFmtId="176" fontId="15" fillId="6" borderId="0" xfId="1" applyNumberFormat="1" applyFont="1" applyFill="1">
      <alignment vertical="center"/>
    </xf>
    <xf numFmtId="176" fontId="20" fillId="2" borderId="0" xfId="1" applyNumberFormat="1" applyFont="1" applyFill="1">
      <alignment vertical="center"/>
    </xf>
    <xf numFmtId="176" fontId="21" fillId="2" borderId="0" xfId="1" applyNumberFormat="1" applyFont="1" applyFill="1">
      <alignment vertical="center"/>
    </xf>
    <xf numFmtId="176" fontId="22" fillId="2" borderId="0" xfId="1" applyNumberFormat="1" applyFont="1" applyFill="1">
      <alignment vertical="center"/>
    </xf>
    <xf numFmtId="176" fontId="23" fillId="2" borderId="0" xfId="1" applyNumberFormat="1" applyFont="1" applyFill="1">
      <alignment vertical="center"/>
    </xf>
    <xf numFmtId="9" fontId="22" fillId="2" borderId="0" xfId="2" applyFont="1" applyFill="1">
      <alignment vertical="center"/>
    </xf>
    <xf numFmtId="9" fontId="10" fillId="2" borderId="0" xfId="2" applyFont="1" applyFill="1">
      <alignment vertical="center"/>
    </xf>
    <xf numFmtId="176" fontId="24" fillId="2" borderId="0" xfId="1" applyNumberFormat="1" applyFont="1" applyFill="1">
      <alignment vertical="center"/>
    </xf>
    <xf numFmtId="9" fontId="2" fillId="2" borderId="0" xfId="2" applyFont="1" applyFill="1">
      <alignment vertical="center"/>
    </xf>
    <xf numFmtId="178" fontId="8" fillId="2" borderId="0" xfId="1" applyNumberFormat="1" applyFont="1" applyFill="1">
      <alignment vertical="center"/>
    </xf>
    <xf numFmtId="178" fontId="25" fillId="2" borderId="0" xfId="1" applyNumberFormat="1" applyFont="1" applyFill="1">
      <alignment vertical="center"/>
    </xf>
    <xf numFmtId="178" fontId="2" fillId="2" borderId="0" xfId="1" applyNumberFormat="1" applyFont="1" applyFill="1">
      <alignment vertical="center"/>
    </xf>
    <xf numFmtId="178" fontId="4" fillId="2" borderId="0" xfId="1" applyNumberFormat="1" applyFont="1" applyFill="1">
      <alignment vertical="center"/>
    </xf>
    <xf numFmtId="178" fontId="5" fillId="2" borderId="0" xfId="1" applyNumberFormat="1" applyFont="1" applyFill="1">
      <alignment vertical="center"/>
    </xf>
    <xf numFmtId="177" fontId="26" fillId="2" borderId="0" xfId="2" applyNumberFormat="1" applyFont="1" applyFill="1">
      <alignment vertical="center"/>
    </xf>
    <xf numFmtId="176" fontId="17" fillId="5" borderId="0" xfId="1" applyNumberFormat="1" applyFont="1" applyFill="1">
      <alignment vertical="center"/>
    </xf>
    <xf numFmtId="176" fontId="27" fillId="2" borderId="0" xfId="1" applyNumberFormat="1" applyFont="1" applyFill="1">
      <alignment vertical="center"/>
    </xf>
    <xf numFmtId="176" fontId="28" fillId="2" borderId="0" xfId="1" applyNumberFormat="1" applyFont="1" applyFill="1">
      <alignment vertical="center"/>
    </xf>
    <xf numFmtId="177" fontId="27" fillId="2" borderId="0" xfId="2" applyNumberFormat="1" applyFont="1" applyFill="1">
      <alignment vertical="center"/>
    </xf>
    <xf numFmtId="177" fontId="8" fillId="2" borderId="0" xfId="2" applyNumberFormat="1" applyFont="1" applyFill="1">
      <alignment vertical="center"/>
    </xf>
    <xf numFmtId="176" fontId="29" fillId="6" borderId="0" xfId="1" applyNumberFormat="1" applyFont="1" applyFill="1">
      <alignment vertical="center"/>
    </xf>
    <xf numFmtId="176" fontId="31" fillId="2" borderId="0" xfId="1" applyNumberFormat="1" applyFont="1" applyFill="1">
      <alignment vertical="center"/>
    </xf>
    <xf numFmtId="176" fontId="32" fillId="2" borderId="0" xfId="1" applyNumberFormat="1" applyFont="1" applyFill="1">
      <alignment vertical="center"/>
    </xf>
    <xf numFmtId="177" fontId="16" fillId="2" borderId="0" xfId="2" applyNumberFormat="1" applyFont="1" applyFill="1">
      <alignment vertical="center"/>
    </xf>
    <xf numFmtId="177" fontId="16" fillId="7" borderId="0" xfId="2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3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34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63AC1-BDA6-4144-AC26-4C354667E93D}">
  <sheetPr>
    <tabColor rgb="FFFF0000"/>
  </sheetPr>
  <dimension ref="C10:N18"/>
  <sheetViews>
    <sheetView tabSelected="1" workbookViewId="0">
      <selection activeCell="C6" sqref="C6"/>
    </sheetView>
  </sheetViews>
  <sheetFormatPr baseColWidth="10" defaultRowHeight="16"/>
  <cols>
    <col min="1" max="16384" width="10.83203125" style="57"/>
  </cols>
  <sheetData>
    <row r="10" spans="3:14" ht="17" thickBot="1"/>
    <row r="11" spans="3:14"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3:14" ht="28">
      <c r="C12" s="61"/>
      <c r="D12" s="62" t="s">
        <v>226</v>
      </c>
      <c r="N12" s="63"/>
    </row>
    <row r="13" spans="3:14">
      <c r="C13" s="61"/>
      <c r="N13" s="63"/>
    </row>
    <row r="14" spans="3:14" ht="20">
      <c r="C14" s="61"/>
      <c r="D14" s="64" t="s">
        <v>227</v>
      </c>
      <c r="N14" s="63"/>
    </row>
    <row r="15" spans="3:14" ht="20">
      <c r="C15" s="61"/>
      <c r="D15" s="64"/>
      <c r="N15" s="63"/>
    </row>
    <row r="16" spans="3:14" ht="19">
      <c r="C16" s="61"/>
      <c r="D16" s="65" t="s">
        <v>228</v>
      </c>
      <c r="N16" s="63"/>
    </row>
    <row r="17" spans="3:14">
      <c r="C17" s="61"/>
      <c r="N17" s="63"/>
    </row>
    <row r="18" spans="3:14" ht="17" thickBot="1"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043F-A506-2945-8AE3-73900B714793}">
  <dimension ref="B2:AE478"/>
  <sheetViews>
    <sheetView zoomScale="125" workbookViewId="0">
      <pane xSplit="5" ySplit="4" topLeftCell="F165" activePane="bottomRight" state="frozen"/>
      <selection pane="topRight" activeCell="F1" sqref="F1"/>
      <selection pane="bottomLeft" activeCell="A5" sqref="A5"/>
      <selection pane="bottomRight" activeCell="L231" sqref="L231"/>
    </sheetView>
  </sheetViews>
  <sheetFormatPr baseColWidth="10" defaultRowHeight="16" outlineLevelRow="1"/>
  <cols>
    <col min="1" max="1" width="5.83203125" style="1" customWidth="1"/>
    <col min="2" max="2" width="19.1640625" style="1" customWidth="1"/>
    <col min="3" max="10" width="10.83203125" style="1"/>
    <col min="11" max="15" width="11" style="1" bestFit="1" customWidth="1"/>
    <col min="16" max="21" width="12.5" style="1" bestFit="1" customWidth="1"/>
    <col min="22" max="16384" width="10.83203125" style="1"/>
  </cols>
  <sheetData>
    <row r="2" spans="2:31">
      <c r="B2" s="1" t="s">
        <v>0</v>
      </c>
      <c r="F2" s="2">
        <v>365</v>
      </c>
      <c r="G2" s="2">
        <v>366</v>
      </c>
      <c r="H2" s="2">
        <v>365</v>
      </c>
      <c r="I2" s="2">
        <v>365</v>
      </c>
      <c r="J2" s="2">
        <v>365</v>
      </c>
      <c r="K2" s="2">
        <v>366</v>
      </c>
      <c r="L2" s="2">
        <v>365</v>
      </c>
      <c r="M2" s="2">
        <v>365</v>
      </c>
      <c r="N2" s="2">
        <v>365</v>
      </c>
      <c r="O2" s="2">
        <v>366</v>
      </c>
      <c r="P2" s="2">
        <v>365</v>
      </c>
      <c r="Q2" s="2">
        <v>365</v>
      </c>
      <c r="R2" s="2">
        <v>365</v>
      </c>
      <c r="S2" s="2">
        <v>366</v>
      </c>
      <c r="T2" s="2">
        <v>365</v>
      </c>
      <c r="U2" s="2">
        <v>365</v>
      </c>
      <c r="X2" s="2">
        <v>181</v>
      </c>
      <c r="Y2" s="2">
        <v>184</v>
      </c>
      <c r="Z2" s="2">
        <v>181</v>
      </c>
      <c r="AA2" s="2">
        <v>184</v>
      </c>
      <c r="AB2" s="2">
        <v>181</v>
      </c>
      <c r="AC2" s="2">
        <v>184</v>
      </c>
      <c r="AD2" s="2">
        <v>182</v>
      </c>
      <c r="AE2" s="2">
        <v>184</v>
      </c>
    </row>
    <row r="3" spans="2:31" s="3" customFormat="1">
      <c r="I3" s="3" t="s">
        <v>1</v>
      </c>
    </row>
    <row r="4" spans="2:31" s="4" customFormat="1">
      <c r="B4" s="4" t="s">
        <v>2</v>
      </c>
      <c r="C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X4" s="5" t="s">
        <v>20</v>
      </c>
      <c r="Y4" s="5" t="s">
        <v>21</v>
      </c>
      <c r="Z4" s="5" t="s">
        <v>22</v>
      </c>
      <c r="AA4" s="5" t="s">
        <v>23</v>
      </c>
      <c r="AB4" s="5" t="s">
        <v>24</v>
      </c>
      <c r="AC4" s="5" t="s">
        <v>25</v>
      </c>
      <c r="AD4" s="5" t="s">
        <v>26</v>
      </c>
      <c r="AE4" s="5" t="s">
        <v>27</v>
      </c>
    </row>
    <row r="5" spans="2:31" s="6" customFormat="1">
      <c r="B5" s="6" t="s">
        <v>28</v>
      </c>
      <c r="C5" s="6" t="s">
        <v>29</v>
      </c>
      <c r="F5" s="7">
        <v>5756.6819999999998</v>
      </c>
      <c r="G5" s="7">
        <v>7807.6859999999997</v>
      </c>
      <c r="H5" s="7">
        <v>10637.17</v>
      </c>
      <c r="I5" s="7">
        <v>16969.099999999999</v>
      </c>
      <c r="J5" s="7">
        <v>26555.792000000001</v>
      </c>
      <c r="K5" s="7">
        <v>28614.255000000001</v>
      </c>
      <c r="L5" s="6">
        <f t="shared" ref="L5:U5" si="0">L8+L10+L12+L14</f>
        <v>63807.944423224464</v>
      </c>
      <c r="M5" s="6">
        <f t="shared" si="0"/>
        <v>84354.4400938701</v>
      </c>
      <c r="N5" s="6">
        <f t="shared" si="0"/>
        <v>99248.335830915283</v>
      </c>
      <c r="O5" s="6">
        <f t="shared" si="0"/>
        <v>112513.34843383076</v>
      </c>
      <c r="P5" s="6">
        <f t="shared" si="0"/>
        <v>126049.427969854</v>
      </c>
      <c r="Q5" s="6">
        <f t="shared" si="0"/>
        <v>141114.37520572712</v>
      </c>
      <c r="R5" s="6">
        <f t="shared" si="0"/>
        <v>155052.37073766516</v>
      </c>
      <c r="S5" s="6">
        <f t="shared" si="0"/>
        <v>167861.95736463982</v>
      </c>
      <c r="T5" s="6">
        <f t="shared" si="0"/>
        <v>180943.64004334336</v>
      </c>
      <c r="U5" s="6">
        <f t="shared" si="0"/>
        <v>195253.8627114665</v>
      </c>
      <c r="X5" s="7">
        <v>4756.0649999999996</v>
      </c>
      <c r="Y5" s="6">
        <f>H5-X5</f>
        <v>5881.1050000000005</v>
      </c>
      <c r="Z5" s="7">
        <v>7342.6440000000002</v>
      </c>
      <c r="AA5" s="6">
        <f>I5-Z5</f>
        <v>9626.4559999999983</v>
      </c>
      <c r="AB5" s="7">
        <v>11694.626</v>
      </c>
      <c r="AC5" s="6">
        <f>J5-AB5</f>
        <v>14861.166000000001</v>
      </c>
      <c r="AD5" s="7">
        <v>9760.6049999999996</v>
      </c>
      <c r="AE5" s="6">
        <f>K5-AD5</f>
        <v>18853.650000000001</v>
      </c>
    </row>
    <row r="6" spans="2:31" s="8" customFormat="1">
      <c r="C6" s="8" t="s">
        <v>30</v>
      </c>
      <c r="G6" s="8">
        <f t="shared" ref="G6:I6" si="1">G5/F5-1</f>
        <v>0.35628231679290256</v>
      </c>
      <c r="H6" s="8">
        <f t="shared" si="1"/>
        <v>0.36239725829138125</v>
      </c>
      <c r="I6" s="8">
        <f t="shared" si="1"/>
        <v>0.59526452994546464</v>
      </c>
      <c r="J6" s="8">
        <f>J5/I5-1</f>
        <v>0.56494993841747676</v>
      </c>
      <c r="K6" s="8">
        <f>K5/J5-1</f>
        <v>7.7514652923927008E-2</v>
      </c>
      <c r="L6" s="8">
        <f t="shared" ref="L6:U6" si="2">L5/K5-1</f>
        <v>1.2299355486705652</v>
      </c>
      <c r="M6" s="8">
        <f t="shared" si="2"/>
        <v>0.32200529035013448</v>
      </c>
      <c r="N6" s="8">
        <f t="shared" si="2"/>
        <v>0.1765632694671575</v>
      </c>
      <c r="O6" s="8">
        <f t="shared" si="2"/>
        <v>0.1336547609776999</v>
      </c>
      <c r="P6" s="8">
        <f t="shared" si="2"/>
        <v>0.12030643229842042</v>
      </c>
      <c r="Q6" s="8">
        <f t="shared" si="2"/>
        <v>0.11951618883566884</v>
      </c>
      <c r="R6" s="8">
        <f t="shared" si="2"/>
        <v>9.8770911975609721E-2</v>
      </c>
      <c r="S6" s="8">
        <f t="shared" si="2"/>
        <v>8.2614580906004598E-2</v>
      </c>
      <c r="T6" s="8">
        <f t="shared" si="2"/>
        <v>7.7931193488270489E-2</v>
      </c>
      <c r="U6" s="8">
        <f t="shared" si="2"/>
        <v>7.9086629763252647E-2</v>
      </c>
      <c r="Z6" s="8">
        <f>Z5/X5-1</f>
        <v>0.54384853865538019</v>
      </c>
      <c r="AA6" s="8">
        <f t="shared" ref="AA6:AE6" si="3">AA5/Y5-1</f>
        <v>0.63684477661935945</v>
      </c>
      <c r="AB6" s="8">
        <f t="shared" si="3"/>
        <v>0.59269957797218553</v>
      </c>
      <c r="AC6" s="8">
        <f t="shared" si="3"/>
        <v>0.54378371438045359</v>
      </c>
      <c r="AD6" s="8">
        <f t="shared" si="3"/>
        <v>-0.16537690046693243</v>
      </c>
      <c r="AE6" s="8">
        <f t="shared" si="3"/>
        <v>0.26865213671659416</v>
      </c>
    </row>
    <row r="8" spans="2:31">
      <c r="C8" s="1" t="s">
        <v>31</v>
      </c>
      <c r="F8" s="2">
        <v>5653.0889999999999</v>
      </c>
      <c r="G8" s="2">
        <v>7635.5959999999995</v>
      </c>
      <c r="H8" s="2">
        <v>10388.097</v>
      </c>
      <c r="I8" s="2">
        <v>16491.223000000002</v>
      </c>
      <c r="J8" s="2">
        <v>25588.523000000001</v>
      </c>
      <c r="K8" s="2">
        <v>27433.691999999999</v>
      </c>
      <c r="L8" s="1">
        <f t="shared" ref="L8:U8" si="4">L385</f>
        <v>62008.870523224461</v>
      </c>
      <c r="M8" s="1">
        <f t="shared" si="4"/>
        <v>81802.143321370095</v>
      </c>
      <c r="N8" s="1">
        <f t="shared" si="4"/>
        <v>96021.118263040276</v>
      </c>
      <c r="O8" s="1">
        <f t="shared" si="4"/>
        <v>108687.4434909745</v>
      </c>
      <c r="P8" s="1">
        <f t="shared" si="4"/>
        <v>121538.42536880932</v>
      </c>
      <c r="Q8" s="1">
        <f t="shared" si="4"/>
        <v>135842.46227798983</v>
      </c>
      <c r="R8" s="1">
        <f t="shared" si="4"/>
        <v>148941.81701515886</v>
      </c>
      <c r="S8" s="1">
        <f t="shared" si="4"/>
        <v>160791.58525656833</v>
      </c>
      <c r="T8" s="1">
        <f t="shared" si="4"/>
        <v>172773.12858437593</v>
      </c>
      <c r="U8" s="1">
        <f t="shared" si="4"/>
        <v>185791.78205614802</v>
      </c>
      <c r="X8" s="2">
        <v>4646.6840000000002</v>
      </c>
      <c r="Y8" s="1">
        <f>H8-X8</f>
        <v>5741.4129999999996</v>
      </c>
      <c r="Z8" s="2">
        <v>7152.0370000000003</v>
      </c>
      <c r="AA8" s="1">
        <f>I8-Z8</f>
        <v>9339.1860000000015</v>
      </c>
      <c r="AB8" s="2">
        <v>11331.412</v>
      </c>
      <c r="AC8" s="1">
        <f>J8-AB8</f>
        <v>14257.111000000001</v>
      </c>
      <c r="AD8" s="2">
        <v>9150.6530000000002</v>
      </c>
      <c r="AE8" s="1">
        <f>K8-AD8</f>
        <v>18283.038999999997</v>
      </c>
    </row>
    <row r="9" spans="2:31" s="8" customFormat="1">
      <c r="D9" s="8" t="s">
        <v>30</v>
      </c>
      <c r="G9" s="8">
        <f t="shared" ref="G9:I9" si="5">G8/F8-1</f>
        <v>0.35069446102829782</v>
      </c>
      <c r="H9" s="8">
        <f t="shared" si="5"/>
        <v>0.36048279662779437</v>
      </c>
      <c r="I9" s="8">
        <f t="shared" si="5"/>
        <v>0.58751145662193971</v>
      </c>
      <c r="J9" s="8">
        <f>J8/I8-1</f>
        <v>0.55164495683552395</v>
      </c>
      <c r="K9" s="8">
        <f t="shared" ref="K9:U11" si="6">K8/J8-1</f>
        <v>7.2109242100452553E-2</v>
      </c>
      <c r="L9" s="8">
        <f t="shared" si="6"/>
        <v>1.2603180980243005</v>
      </c>
      <c r="M9" s="8">
        <f t="shared" si="6"/>
        <v>0.31920066647129741</v>
      </c>
      <c r="N9" s="8">
        <f t="shared" si="6"/>
        <v>0.17382154506403502</v>
      </c>
      <c r="O9" s="8">
        <f t="shared" si="6"/>
        <v>0.13191186956640188</v>
      </c>
      <c r="P9" s="8">
        <f t="shared" si="6"/>
        <v>0.11823796259318553</v>
      </c>
      <c r="Q9" s="8">
        <f t="shared" si="6"/>
        <v>0.11769147794843327</v>
      </c>
      <c r="R9" s="8">
        <f t="shared" si="6"/>
        <v>9.6430486590874054E-2</v>
      </c>
      <c r="S9" s="8">
        <f t="shared" si="6"/>
        <v>7.9559713174463642E-2</v>
      </c>
      <c r="T9" s="8">
        <f t="shared" si="6"/>
        <v>7.4515984830233251E-2</v>
      </c>
      <c r="U9" s="8">
        <f t="shared" si="6"/>
        <v>7.535114735978321E-2</v>
      </c>
      <c r="Z9" s="8">
        <f>Z8/X8-1</f>
        <v>0.53917008344014783</v>
      </c>
      <c r="AA9" s="8">
        <f t="shared" ref="AA9:AE9" si="7">AA8/Y8-1</f>
        <v>0.62663546412703663</v>
      </c>
      <c r="AB9" s="8">
        <f t="shared" si="7"/>
        <v>0.58436149029989637</v>
      </c>
      <c r="AC9" s="8">
        <f t="shared" si="7"/>
        <v>0.52659032596631006</v>
      </c>
      <c r="AD9" s="8">
        <f t="shared" si="7"/>
        <v>-0.19245253813028773</v>
      </c>
      <c r="AE9" s="8">
        <f t="shared" si="7"/>
        <v>0.28238035040899923</v>
      </c>
    </row>
    <row r="10" spans="2:31">
      <c r="C10" s="1" t="s">
        <v>32</v>
      </c>
      <c r="F10" s="2">
        <v>0</v>
      </c>
      <c r="G10" s="2">
        <v>0</v>
      </c>
      <c r="H10" s="2">
        <v>0</v>
      </c>
      <c r="I10" s="2">
        <v>0</v>
      </c>
      <c r="J10" s="2">
        <v>21.154</v>
      </c>
      <c r="K10" s="2">
        <v>20.614000000000001</v>
      </c>
      <c r="L10" s="1">
        <f t="shared" ref="L10:U10" si="8">K10*(1+L11)</f>
        <v>51.535000000000004</v>
      </c>
      <c r="M10" s="1">
        <f t="shared" si="8"/>
        <v>95.339750000000009</v>
      </c>
      <c r="N10" s="1">
        <f t="shared" si="8"/>
        <v>152.54360000000003</v>
      </c>
      <c r="O10" s="1">
        <f t="shared" si="8"/>
        <v>205.93386000000004</v>
      </c>
      <c r="P10" s="1">
        <f t="shared" si="8"/>
        <v>247.12063200000003</v>
      </c>
      <c r="Q10" s="1">
        <f t="shared" si="8"/>
        <v>284.18872679999998</v>
      </c>
      <c r="R10" s="1">
        <f t="shared" si="8"/>
        <v>312.60759948000003</v>
      </c>
      <c r="S10" s="1">
        <f t="shared" si="8"/>
        <v>343.86835942800008</v>
      </c>
      <c r="T10" s="1">
        <f t="shared" si="8"/>
        <v>378.2551953708001</v>
      </c>
      <c r="U10" s="1">
        <f t="shared" si="8"/>
        <v>416.08071490788012</v>
      </c>
      <c r="X10" s="2">
        <v>0</v>
      </c>
      <c r="Y10" s="1">
        <f t="shared" ref="Y10:Y16" si="9">H10-X10</f>
        <v>0</v>
      </c>
      <c r="Z10" s="2">
        <v>0</v>
      </c>
      <c r="AA10" s="1">
        <f t="shared" ref="AA10:AA16" si="10">I10-Z10</f>
        <v>0</v>
      </c>
      <c r="AB10" s="2">
        <v>4.7610000000000001</v>
      </c>
      <c r="AC10" s="1">
        <f t="shared" ref="AC10:AC16" si="11">J10-AB10</f>
        <v>16.393000000000001</v>
      </c>
      <c r="AD10" s="2">
        <v>11.999000000000001</v>
      </c>
      <c r="AE10" s="1">
        <f>K10-AD10</f>
        <v>8.6150000000000002</v>
      </c>
    </row>
    <row r="11" spans="2:31" s="8" customFormat="1">
      <c r="D11" s="8" t="s">
        <v>30</v>
      </c>
      <c r="K11" s="8">
        <f t="shared" si="6"/>
        <v>-2.552708707573037E-2</v>
      </c>
      <c r="L11" s="9">
        <v>1.5</v>
      </c>
      <c r="M11" s="9">
        <v>0.85</v>
      </c>
      <c r="N11" s="9">
        <v>0.6</v>
      </c>
      <c r="O11" s="9">
        <v>0.35</v>
      </c>
      <c r="P11" s="9">
        <v>0.2</v>
      </c>
      <c r="Q11" s="9">
        <v>0.15</v>
      </c>
      <c r="R11" s="9">
        <v>0.1</v>
      </c>
      <c r="S11" s="9">
        <v>0.1</v>
      </c>
      <c r="T11" s="9">
        <v>0.1</v>
      </c>
      <c r="U11" s="9">
        <v>0.1</v>
      </c>
      <c r="Z11" s="8" t="e">
        <f>Z10/X10-1</f>
        <v>#DIV/0!</v>
      </c>
      <c r="AA11" s="8" t="e">
        <f t="shared" ref="AA11:AE11" si="12">AA10/Y10-1</f>
        <v>#DIV/0!</v>
      </c>
      <c r="AB11" s="8" t="e">
        <f t="shared" si="12"/>
        <v>#DIV/0!</v>
      </c>
      <c r="AC11" s="8" t="e">
        <f t="shared" si="12"/>
        <v>#DIV/0!</v>
      </c>
      <c r="AD11" s="8">
        <f t="shared" si="12"/>
        <v>1.5202688510817057</v>
      </c>
      <c r="AE11" s="8">
        <f t="shared" si="12"/>
        <v>-0.47447081071188923</v>
      </c>
    </row>
    <row r="12" spans="2:31">
      <c r="C12" s="1" t="s">
        <v>33</v>
      </c>
      <c r="F12" s="2">
        <v>74.072999999999993</v>
      </c>
      <c r="G12" s="2">
        <v>146.11799999999999</v>
      </c>
      <c r="H12" s="2">
        <v>218.762</v>
      </c>
      <c r="I12" s="2">
        <v>323.58499999999998</v>
      </c>
      <c r="J12" s="2">
        <v>448.54300000000001</v>
      </c>
      <c r="K12" s="2">
        <v>717.68299999999999</v>
      </c>
      <c r="L12" s="1">
        <f t="shared" ref="L12:P12" si="13">K12*(1+L13)</f>
        <v>968.87205000000006</v>
      </c>
      <c r="M12" s="1">
        <f t="shared" si="13"/>
        <v>1211.0900625000002</v>
      </c>
      <c r="N12" s="1">
        <f t="shared" si="13"/>
        <v>1392.753571875</v>
      </c>
      <c r="O12" s="1">
        <f t="shared" si="13"/>
        <v>1601.6666076562499</v>
      </c>
      <c r="P12" s="1">
        <f t="shared" si="13"/>
        <v>1841.9165988046873</v>
      </c>
      <c r="Q12" s="1">
        <f>P12*(1+Q13)</f>
        <v>2081.3657566492966</v>
      </c>
      <c r="R12" s="1">
        <f t="shared" ref="R12:U12" si="14">Q12*(1+R13)</f>
        <v>2310.3159898807194</v>
      </c>
      <c r="S12" s="1">
        <f t="shared" si="14"/>
        <v>2541.3475888687917</v>
      </c>
      <c r="T12" s="1">
        <f t="shared" si="14"/>
        <v>2770.068871866983</v>
      </c>
      <c r="U12" s="1">
        <f t="shared" si="14"/>
        <v>3019.3750703350115</v>
      </c>
      <c r="X12" s="2">
        <v>97.73</v>
      </c>
      <c r="Y12" s="1">
        <f t="shared" si="9"/>
        <v>121.032</v>
      </c>
      <c r="Z12" s="2">
        <v>133.357</v>
      </c>
      <c r="AA12" s="1">
        <f t="shared" si="10"/>
        <v>190.22799999999998</v>
      </c>
      <c r="AB12" s="2">
        <v>183.15600000000001</v>
      </c>
      <c r="AC12" s="1">
        <f t="shared" si="11"/>
        <v>265.387</v>
      </c>
      <c r="AD12" s="2">
        <v>409.64499999999998</v>
      </c>
      <c r="AE12" s="1">
        <f>K12-AD12</f>
        <v>308.03800000000001</v>
      </c>
    </row>
    <row r="13" spans="2:31" s="8" customFormat="1">
      <c r="D13" s="8" t="s">
        <v>30</v>
      </c>
      <c r="G13" s="8">
        <f t="shared" ref="G13:I13" si="15">G12/F12-1</f>
        <v>0.97262160301324374</v>
      </c>
      <c r="H13" s="8">
        <f t="shared" si="15"/>
        <v>0.49715982972665929</v>
      </c>
      <c r="I13" s="8">
        <f t="shared" si="15"/>
        <v>0.47916457154350378</v>
      </c>
      <c r="J13" s="8">
        <f>J12/I12-1</f>
        <v>0.38616746758965981</v>
      </c>
      <c r="K13" s="8">
        <f>K12/J12-1</f>
        <v>0.60003165805730996</v>
      </c>
      <c r="L13" s="9">
        <v>0.35</v>
      </c>
      <c r="M13" s="9">
        <v>0.25</v>
      </c>
      <c r="N13" s="9">
        <v>0.15</v>
      </c>
      <c r="O13" s="9">
        <v>0.15</v>
      </c>
      <c r="P13" s="9">
        <v>0.15</v>
      </c>
      <c r="Q13" s="9">
        <v>0.13</v>
      </c>
      <c r="R13" s="9">
        <v>0.11</v>
      </c>
      <c r="S13" s="9">
        <v>0.1</v>
      </c>
      <c r="T13" s="9">
        <v>0.09</v>
      </c>
      <c r="U13" s="9">
        <v>0.09</v>
      </c>
      <c r="Z13" s="8">
        <f>Z12/X12-1</f>
        <v>0.36454517548347476</v>
      </c>
      <c r="AA13" s="8">
        <f t="shared" ref="AA13:AE13" si="16">AA12/Y12-1</f>
        <v>0.57171657082424465</v>
      </c>
      <c r="AB13" s="8">
        <f t="shared" si="16"/>
        <v>0.3734262168465099</v>
      </c>
      <c r="AC13" s="8">
        <f t="shared" si="16"/>
        <v>0.39509956473284702</v>
      </c>
      <c r="AD13" s="8">
        <f t="shared" si="16"/>
        <v>1.2365906658804513</v>
      </c>
      <c r="AE13" s="8">
        <f t="shared" si="16"/>
        <v>0.16071246896042379</v>
      </c>
    </row>
    <row r="14" spans="2:31">
      <c r="C14" s="1" t="s">
        <v>34</v>
      </c>
      <c r="F14" s="2">
        <v>29.52</v>
      </c>
      <c r="G14" s="2">
        <v>25.972000000000001</v>
      </c>
      <c r="H14" s="2">
        <v>30.311</v>
      </c>
      <c r="I14" s="2">
        <v>154.292</v>
      </c>
      <c r="J14" s="2">
        <v>494.42500000000001</v>
      </c>
      <c r="K14" s="2">
        <v>420.90100000000001</v>
      </c>
      <c r="L14" s="1">
        <f t="shared" ref="L14:U14" si="17">K14*(1+L15)</f>
        <v>778.66685000000007</v>
      </c>
      <c r="M14" s="1">
        <f t="shared" si="17"/>
        <v>1245.8669600000003</v>
      </c>
      <c r="N14" s="1">
        <f t="shared" si="17"/>
        <v>1681.9203960000004</v>
      </c>
      <c r="O14" s="1">
        <f t="shared" si="17"/>
        <v>2018.3044752000005</v>
      </c>
      <c r="P14" s="1">
        <f t="shared" si="17"/>
        <v>2421.9653702400005</v>
      </c>
      <c r="Q14" s="1">
        <f t="shared" si="17"/>
        <v>2906.3584442880006</v>
      </c>
      <c r="R14" s="1">
        <f t="shared" si="17"/>
        <v>3487.6301331456007</v>
      </c>
      <c r="S14" s="1">
        <f t="shared" si="17"/>
        <v>4185.1561597747204</v>
      </c>
      <c r="T14" s="1">
        <f t="shared" si="17"/>
        <v>5022.1873917296643</v>
      </c>
      <c r="U14" s="1">
        <f t="shared" si="17"/>
        <v>6026.6248700755968</v>
      </c>
      <c r="X14" s="2">
        <v>11.651</v>
      </c>
      <c r="Y14" s="1">
        <f t="shared" si="9"/>
        <v>18.66</v>
      </c>
      <c r="Z14" s="2">
        <v>57.25</v>
      </c>
      <c r="AA14" s="1">
        <f t="shared" si="10"/>
        <v>97.042000000000002</v>
      </c>
      <c r="AB14" s="2">
        <v>175.297</v>
      </c>
      <c r="AC14" s="1">
        <f t="shared" si="11"/>
        <v>319.12800000000004</v>
      </c>
      <c r="AD14" s="2">
        <v>182.15</v>
      </c>
      <c r="AE14" s="1">
        <f>K14-AD14</f>
        <v>238.751</v>
      </c>
    </row>
    <row r="15" spans="2:31" s="8" customFormat="1">
      <c r="D15" s="8" t="s">
        <v>30</v>
      </c>
      <c r="G15" s="8">
        <f t="shared" ref="G15:I15" si="18">G14/F14-1</f>
        <v>-0.12018970189701894</v>
      </c>
      <c r="H15" s="8">
        <f t="shared" si="18"/>
        <v>0.16706453103342045</v>
      </c>
      <c r="I15" s="8">
        <f t="shared" si="18"/>
        <v>4.0902972518227703</v>
      </c>
      <c r="J15" s="8">
        <f>J14/I14-1</f>
        <v>2.2044759287584581</v>
      </c>
      <c r="K15" s="8">
        <f>K14/J14-1</f>
        <v>-0.14870607271072456</v>
      </c>
      <c r="L15" s="9">
        <v>0.85</v>
      </c>
      <c r="M15" s="9">
        <v>0.6</v>
      </c>
      <c r="N15" s="9">
        <v>0.35</v>
      </c>
      <c r="O15" s="9">
        <v>0.2</v>
      </c>
      <c r="P15" s="9">
        <v>0.2</v>
      </c>
      <c r="Q15" s="9">
        <v>0.2</v>
      </c>
      <c r="R15" s="9">
        <v>0.2</v>
      </c>
      <c r="S15" s="9">
        <v>0.2</v>
      </c>
      <c r="T15" s="9">
        <v>0.2</v>
      </c>
      <c r="U15" s="9">
        <v>0.2</v>
      </c>
      <c r="Z15" s="8">
        <f>Z14/X14-1</f>
        <v>3.9137413097588194</v>
      </c>
      <c r="AA15" s="8">
        <f t="shared" ref="AA15:AE15" si="19">AA14/Y14-1</f>
        <v>4.2005359056806002</v>
      </c>
      <c r="AB15" s="8">
        <f t="shared" si="19"/>
        <v>2.0619563318777292</v>
      </c>
      <c r="AC15" s="8">
        <f t="shared" si="19"/>
        <v>2.288555470827065</v>
      </c>
      <c r="AD15" s="8">
        <f t="shared" si="19"/>
        <v>3.9093652486922315E-2</v>
      </c>
      <c r="AE15" s="8">
        <f t="shared" si="19"/>
        <v>-0.25186445564162352</v>
      </c>
    </row>
    <row r="16" spans="2:31">
      <c r="C16" s="1" t="s">
        <v>35</v>
      </c>
      <c r="F16" s="2">
        <v>0</v>
      </c>
      <c r="G16" s="2">
        <v>0</v>
      </c>
      <c r="H16" s="2">
        <v>0</v>
      </c>
      <c r="I16" s="2">
        <v>0</v>
      </c>
      <c r="J16" s="2">
        <v>3.1469999999999998</v>
      </c>
      <c r="K16" s="2">
        <v>21.364999999999998</v>
      </c>
      <c r="X16" s="2">
        <v>0</v>
      </c>
      <c r="Y16" s="1">
        <f t="shared" si="9"/>
        <v>0</v>
      </c>
      <c r="Z16" s="2">
        <v>0</v>
      </c>
      <c r="AA16" s="1">
        <f t="shared" si="10"/>
        <v>0</v>
      </c>
      <c r="AB16" s="2">
        <v>0</v>
      </c>
      <c r="AC16" s="1">
        <f t="shared" si="11"/>
        <v>3.1469999999999998</v>
      </c>
      <c r="AD16" s="2">
        <v>6.1580000000000004</v>
      </c>
      <c r="AE16" s="1">
        <f>K16-AD16</f>
        <v>15.206999999999997</v>
      </c>
    </row>
    <row r="18" spans="2:31" s="10" customFormat="1" ht="19">
      <c r="C18" s="11" t="s">
        <v>36</v>
      </c>
    </row>
    <row r="19" spans="2:31" s="10" customFormat="1">
      <c r="C19" s="10" t="s">
        <v>31</v>
      </c>
      <c r="F19" s="12">
        <f>F8/F$5</f>
        <v>0.98200473814603628</v>
      </c>
      <c r="G19" s="12">
        <f>G8/G$5</f>
        <v>0.97795889844955342</v>
      </c>
      <c r="H19" s="12">
        <f>H8/H$5</f>
        <v>0.97658465550517659</v>
      </c>
      <c r="I19" s="12">
        <f>I8/I$5</f>
        <v>0.9718384003865852</v>
      </c>
      <c r="J19" s="12">
        <f>J8/J$5</f>
        <v>0.96357596866250494</v>
      </c>
      <c r="K19" s="12">
        <f t="shared" ref="K19:O19" si="20">K8/K$5</f>
        <v>0.95874213744163528</v>
      </c>
      <c r="L19" s="12">
        <f t="shared" si="20"/>
        <v>0.97180486040943226</v>
      </c>
      <c r="M19" s="12">
        <f t="shared" si="20"/>
        <v>0.96974318400240944</v>
      </c>
      <c r="N19" s="12">
        <f t="shared" si="20"/>
        <v>0.96748340875586003</v>
      </c>
      <c r="O19" s="12">
        <f t="shared" si="20"/>
        <v>0.96599599073254605</v>
      </c>
      <c r="P19" s="12">
        <f>P8/P$5</f>
        <v>0.96421243099870679</v>
      </c>
      <c r="Q19" s="12">
        <f t="shared" ref="Q19:U19" si="21">Q8/Q$5</f>
        <v>0.96264085129490529</v>
      </c>
      <c r="R19" s="12">
        <f t="shared" si="21"/>
        <v>0.96059038830921961</v>
      </c>
      <c r="S19" s="12">
        <f t="shared" si="21"/>
        <v>0.95787984234740686</v>
      </c>
      <c r="T19" s="12">
        <f t="shared" si="21"/>
        <v>0.95484499230251885</v>
      </c>
      <c r="U19" s="12">
        <f t="shared" si="21"/>
        <v>0.95153959812154432</v>
      </c>
      <c r="X19" s="12">
        <f t="shared" ref="X19:AE19" si="22">X8/X$5</f>
        <v>0.97700178614043343</v>
      </c>
      <c r="Y19" s="12">
        <f t="shared" si="22"/>
        <v>0.97624732086912225</v>
      </c>
      <c r="Z19" s="12">
        <f t="shared" si="22"/>
        <v>0.97404109473372258</v>
      </c>
      <c r="AA19" s="12">
        <f t="shared" si="22"/>
        <v>0.97015828047206609</v>
      </c>
      <c r="AB19" s="12">
        <f t="shared" si="22"/>
        <v>0.96894180284174969</v>
      </c>
      <c r="AC19" s="12">
        <f t="shared" si="22"/>
        <v>0.95935345853750642</v>
      </c>
      <c r="AD19" s="12">
        <f t="shared" si="22"/>
        <v>0.93750879171936585</v>
      </c>
      <c r="AE19" s="12">
        <f t="shared" si="22"/>
        <v>0.96973471980226622</v>
      </c>
    </row>
    <row r="20" spans="2:31" s="10" customFormat="1">
      <c r="C20" s="10" t="s">
        <v>32</v>
      </c>
      <c r="F20" s="12">
        <f>F10/F$5</f>
        <v>0</v>
      </c>
      <c r="G20" s="12">
        <f>G10/G$5</f>
        <v>0</v>
      </c>
      <c r="H20" s="12">
        <f>H10/H$5</f>
        <v>0</v>
      </c>
      <c r="I20" s="12">
        <f>I10/I$5</f>
        <v>0</v>
      </c>
      <c r="J20" s="12">
        <f>J10/J$5</f>
        <v>7.9658704963497221E-4</v>
      </c>
      <c r="K20" s="12">
        <f t="shared" ref="K20:O20" si="23">K10/K$5</f>
        <v>7.2041015920211796E-4</v>
      </c>
      <c r="L20" s="12">
        <f t="shared" si="23"/>
        <v>8.0765805051138083E-4</v>
      </c>
      <c r="M20" s="12">
        <f t="shared" si="23"/>
        <v>1.1302279985962256E-3</v>
      </c>
      <c r="N20" s="12">
        <f t="shared" si="23"/>
        <v>1.5369889955624181E-3</v>
      </c>
      <c r="O20" s="12">
        <f t="shared" si="23"/>
        <v>1.8303060291651528E-3</v>
      </c>
      <c r="P20" s="12">
        <f>P10/P$5</f>
        <v>1.9605057792019607E-3</v>
      </c>
      <c r="Q20" s="12">
        <f t="shared" ref="Q20:U20" si="24">Q10/Q$5</f>
        <v>2.0138892751761705E-3</v>
      </c>
      <c r="R20" s="12">
        <f t="shared" si="24"/>
        <v>2.0161420170021413E-3</v>
      </c>
      <c r="S20" s="12">
        <f t="shared" si="24"/>
        <v>2.0485187044556414E-3</v>
      </c>
      <c r="T20" s="12">
        <f t="shared" si="24"/>
        <v>2.0904586382820231E-3</v>
      </c>
      <c r="U20" s="12">
        <f t="shared" si="24"/>
        <v>2.1309730272672618E-3</v>
      </c>
      <c r="X20" s="12">
        <f t="shared" ref="X20:AE20" si="25">X10/X$5</f>
        <v>0</v>
      </c>
      <c r="Y20" s="12">
        <f t="shared" si="25"/>
        <v>0</v>
      </c>
      <c r="Z20" s="12">
        <f t="shared" si="25"/>
        <v>0</v>
      </c>
      <c r="AA20" s="12">
        <f t="shared" si="25"/>
        <v>0</v>
      </c>
      <c r="AB20" s="12">
        <f t="shared" si="25"/>
        <v>4.071100691890446E-4</v>
      </c>
      <c r="AC20" s="12">
        <f t="shared" si="25"/>
        <v>1.1030762996658539E-3</v>
      </c>
      <c r="AD20" s="12">
        <f t="shared" si="25"/>
        <v>1.2293295343884935E-3</v>
      </c>
      <c r="AE20" s="12">
        <f t="shared" si="25"/>
        <v>4.5694069848543911E-4</v>
      </c>
    </row>
    <row r="21" spans="2:31" s="10" customFormat="1">
      <c r="C21" s="10" t="s">
        <v>33</v>
      </c>
      <c r="F21" s="12">
        <f>F12/F$5</f>
        <v>1.2867307938843938E-2</v>
      </c>
      <c r="G21" s="12">
        <f>G12/G$5</f>
        <v>1.8714635808868337E-2</v>
      </c>
      <c r="H21" s="12">
        <f>H12/H$5</f>
        <v>2.056580838700519E-2</v>
      </c>
      <c r="I21" s="12">
        <f>I12/I$5</f>
        <v>1.9069072608447118E-2</v>
      </c>
      <c r="J21" s="12">
        <f>J12/J$5</f>
        <v>1.6890590195916582E-2</v>
      </c>
      <c r="K21" s="12">
        <f t="shared" ref="K21:O21" si="26">K12/K$5</f>
        <v>2.5081309997412128E-2</v>
      </c>
      <c r="L21" s="12">
        <f t="shared" si="26"/>
        <v>1.5184191541631222E-2</v>
      </c>
      <c r="M21" s="12">
        <f t="shared" si="26"/>
        <v>1.4357158451319128E-2</v>
      </c>
      <c r="N21" s="12">
        <f t="shared" si="26"/>
        <v>1.4033016878467048E-2</v>
      </c>
      <c r="O21" s="12">
        <f t="shared" si="26"/>
        <v>1.4235347449446783E-2</v>
      </c>
      <c r="P21" s="12">
        <f>P12/P$5</f>
        <v>1.4612653373129152E-2</v>
      </c>
      <c r="Q21" s="12">
        <f t="shared" ref="Q21:U21" si="27">Q12/Q$5</f>
        <v>1.4749494894584096E-2</v>
      </c>
      <c r="R21" s="12">
        <f t="shared" si="27"/>
        <v>1.4900230024793164E-2</v>
      </c>
      <c r="S21" s="12">
        <f t="shared" si="27"/>
        <v>1.5139508848620918E-2</v>
      </c>
      <c r="T21" s="12">
        <f t="shared" si="27"/>
        <v>1.5309014846851975E-2</v>
      </c>
      <c r="U21" s="12">
        <f t="shared" si="27"/>
        <v>1.5463842960161296E-2</v>
      </c>
      <c r="X21" s="12">
        <f t="shared" ref="X21:AE21" si="28">X12/X$5</f>
        <v>2.0548499652548905E-2</v>
      </c>
      <c r="Y21" s="12">
        <f t="shared" si="28"/>
        <v>2.0579806005844137E-2</v>
      </c>
      <c r="Z21" s="12">
        <f t="shared" si="28"/>
        <v>1.8161986336257076E-2</v>
      </c>
      <c r="AA21" s="12">
        <f t="shared" si="28"/>
        <v>1.9760958757823233E-2</v>
      </c>
      <c r="AB21" s="12">
        <f t="shared" si="28"/>
        <v>1.5661552579791779E-2</v>
      </c>
      <c r="AC21" s="12">
        <f t="shared" si="28"/>
        <v>1.7857750865578111E-2</v>
      </c>
      <c r="AD21" s="12">
        <f t="shared" si="28"/>
        <v>4.196922219473076E-2</v>
      </c>
      <c r="AE21" s="12">
        <f t="shared" si="28"/>
        <v>1.6338374797453013E-2</v>
      </c>
    </row>
    <row r="22" spans="2:31" s="10" customFormat="1">
      <c r="C22" s="10" t="s">
        <v>34</v>
      </c>
      <c r="F22" s="12">
        <f>F14/F$5</f>
        <v>5.127953915119856E-3</v>
      </c>
      <c r="G22" s="12">
        <f>G14/G$5</f>
        <v>3.3264657415782348E-3</v>
      </c>
      <c r="H22" s="12">
        <f>H14/H$5</f>
        <v>2.8495361078181508E-3</v>
      </c>
      <c r="I22" s="12">
        <f>I14/I$5</f>
        <v>9.0925270049678538E-3</v>
      </c>
      <c r="J22" s="12">
        <f>J14/J$5</f>
        <v>1.8618348870935577E-2</v>
      </c>
      <c r="K22" s="12">
        <f t="shared" ref="K22:O22" si="29">K14/K$5</f>
        <v>1.470948658282384E-2</v>
      </c>
      <c r="L22" s="12">
        <f t="shared" si="29"/>
        <v>1.2203289998425106E-2</v>
      </c>
      <c r="M22" s="12">
        <f t="shared" si="29"/>
        <v>1.4769429547675171E-2</v>
      </c>
      <c r="N22" s="12">
        <f t="shared" si="29"/>
        <v>1.6946585370110477E-2</v>
      </c>
      <c r="O22" s="12">
        <f t="shared" si="29"/>
        <v>1.793835578884196E-2</v>
      </c>
      <c r="P22" s="12">
        <f>P14/P$5</f>
        <v>1.9214409848962093E-2</v>
      </c>
      <c r="Q22" s="12">
        <f t="shared" ref="Q22:U22" si="30">Q14/Q$5</f>
        <v>2.0595764535334498E-2</v>
      </c>
      <c r="R22" s="12">
        <f t="shared" si="30"/>
        <v>2.2493239648985187E-2</v>
      </c>
      <c r="S22" s="12">
        <f t="shared" si="30"/>
        <v>2.4932130099516669E-2</v>
      </c>
      <c r="T22" s="12">
        <f t="shared" si="30"/>
        <v>2.775553421234726E-2</v>
      </c>
      <c r="U22" s="12">
        <f t="shared" si="30"/>
        <v>3.0865585891027173E-2</v>
      </c>
      <c r="X22" s="12">
        <f t="shared" ref="X22:AE22" si="31">X14/X$5</f>
        <v>2.4497142070177766E-3</v>
      </c>
      <c r="Y22" s="12">
        <f t="shared" si="31"/>
        <v>3.1728731250334754E-3</v>
      </c>
      <c r="Z22" s="12">
        <f t="shared" si="31"/>
        <v>7.7969189300203029E-3</v>
      </c>
      <c r="AA22" s="12">
        <f t="shared" si="31"/>
        <v>1.0080760770111037E-2</v>
      </c>
      <c r="AB22" s="12">
        <f t="shared" si="31"/>
        <v>1.4989534509269471E-2</v>
      </c>
      <c r="AC22" s="12">
        <f t="shared" si="31"/>
        <v>2.1473954331712602E-2</v>
      </c>
      <c r="AD22" s="12">
        <f t="shared" si="31"/>
        <v>1.8661753036825074E-2</v>
      </c>
      <c r="AE22" s="12">
        <f t="shared" si="31"/>
        <v>1.2663383482773892E-2</v>
      </c>
    </row>
    <row r="23" spans="2:31" s="10" customFormat="1">
      <c r="C23" s="10" t="s">
        <v>35</v>
      </c>
      <c r="F23" s="12">
        <f t="shared" ref="F23:U23" si="32">F16/F$5</f>
        <v>0</v>
      </c>
      <c r="G23" s="12">
        <f t="shared" si="32"/>
        <v>0</v>
      </c>
      <c r="H23" s="12">
        <f t="shared" si="32"/>
        <v>0</v>
      </c>
      <c r="I23" s="12">
        <f t="shared" si="32"/>
        <v>0</v>
      </c>
      <c r="J23" s="12">
        <f t="shared" si="32"/>
        <v>1.1850522100790666E-4</v>
      </c>
      <c r="K23" s="12">
        <f t="shared" si="32"/>
        <v>7.4665581892661536E-4</v>
      </c>
      <c r="L23" s="12">
        <f t="shared" si="32"/>
        <v>0</v>
      </c>
      <c r="M23" s="12">
        <f t="shared" si="32"/>
        <v>0</v>
      </c>
      <c r="N23" s="12">
        <f t="shared" si="32"/>
        <v>0</v>
      </c>
      <c r="O23" s="12">
        <f t="shared" si="32"/>
        <v>0</v>
      </c>
      <c r="P23" s="12">
        <f t="shared" si="32"/>
        <v>0</v>
      </c>
      <c r="Q23" s="12">
        <f t="shared" si="32"/>
        <v>0</v>
      </c>
      <c r="R23" s="12">
        <f t="shared" si="32"/>
        <v>0</v>
      </c>
      <c r="S23" s="12">
        <f t="shared" si="32"/>
        <v>0</v>
      </c>
      <c r="T23" s="12">
        <f t="shared" si="32"/>
        <v>0</v>
      </c>
      <c r="U23" s="12">
        <f t="shared" si="32"/>
        <v>0</v>
      </c>
      <c r="X23" s="12">
        <f t="shared" ref="X23:AE23" si="33">X16/X$5</f>
        <v>0</v>
      </c>
      <c r="Y23" s="12">
        <f t="shared" si="33"/>
        <v>0</v>
      </c>
      <c r="Z23" s="12">
        <f t="shared" si="33"/>
        <v>0</v>
      </c>
      <c r="AA23" s="12">
        <f t="shared" si="33"/>
        <v>0</v>
      </c>
      <c r="AB23" s="12">
        <f t="shared" si="33"/>
        <v>0</v>
      </c>
      <c r="AC23" s="12">
        <f t="shared" si="33"/>
        <v>2.1175996553702447E-4</v>
      </c>
      <c r="AD23" s="12">
        <f t="shared" si="33"/>
        <v>6.3090351468991941E-4</v>
      </c>
      <c r="AE23" s="12">
        <f t="shared" si="33"/>
        <v>8.0658121902125036E-4</v>
      </c>
    </row>
    <row r="25" spans="2:31" s="6" customFormat="1">
      <c r="B25" s="6" t="s">
        <v>37</v>
      </c>
      <c r="F25" s="7">
        <v>-2599.7399999999998</v>
      </c>
      <c r="G25" s="7">
        <v>-3179.2809999999999</v>
      </c>
      <c r="H25" s="7">
        <v>-4313.2299999999996</v>
      </c>
      <c r="I25" s="7">
        <v>-6935.0330000000004</v>
      </c>
      <c r="J25" s="7">
        <v>-11238.992</v>
      </c>
      <c r="K25" s="7">
        <v>-12261.465</v>
      </c>
      <c r="L25" s="6">
        <f t="shared" ref="L25:U25" si="34">L32-L5</f>
        <v>-27437.416101986521</v>
      </c>
      <c r="M25" s="6">
        <f t="shared" si="34"/>
        <v>-35428.864839425449</v>
      </c>
      <c r="N25" s="6">
        <f t="shared" si="34"/>
        <v>-41188.059369829847</v>
      </c>
      <c r="O25" s="6">
        <f t="shared" si="34"/>
        <v>-46130.472857870613</v>
      </c>
      <c r="P25" s="6">
        <f t="shared" si="34"/>
        <v>-51050.01832779088</v>
      </c>
      <c r="Q25" s="6">
        <f t="shared" si="34"/>
        <v>-56445.750082290848</v>
      </c>
      <c r="R25" s="6">
        <f t="shared" si="34"/>
        <v>-62020.94829506606</v>
      </c>
      <c r="S25" s="6">
        <f t="shared" si="34"/>
        <v>-67144.782945855928</v>
      </c>
      <c r="T25" s="6">
        <f t="shared" si="34"/>
        <v>-72377.456017337347</v>
      </c>
      <c r="U25" s="6">
        <f t="shared" si="34"/>
        <v>-78101.5450845866</v>
      </c>
      <c r="X25" s="7">
        <v>-1949.182</v>
      </c>
      <c r="Y25" s="6">
        <f>H25-X25</f>
        <v>-2364.0479999999998</v>
      </c>
      <c r="Z25" s="7">
        <v>-3066.3270000000002</v>
      </c>
      <c r="AA25" s="6">
        <f>I25-Z25</f>
        <v>-3868.7060000000001</v>
      </c>
      <c r="AB25" s="7">
        <v>-4902.5829999999996</v>
      </c>
      <c r="AC25" s="6">
        <f>J25-AB25</f>
        <v>-6336.4090000000006</v>
      </c>
      <c r="AD25" s="7">
        <v>-4348.1840000000002</v>
      </c>
      <c r="AE25" s="6">
        <f>K25-AD25</f>
        <v>-7913.2809999999999</v>
      </c>
    </row>
    <row r="26" spans="2:31" hidden="1" outlineLevel="1"/>
    <row r="27" spans="2:31" hidden="1" outlineLevel="1">
      <c r="C27" s="1" t="s">
        <v>38</v>
      </c>
      <c r="F27" s="2">
        <v>-2438.9850000000001</v>
      </c>
      <c r="G27" s="2">
        <v>-3000.654</v>
      </c>
      <c r="H27" s="2">
        <v>-4038.8510000000001</v>
      </c>
      <c r="I27" s="2"/>
      <c r="J27" s="2"/>
      <c r="X27" s="2">
        <v>-1817.53</v>
      </c>
      <c r="Y27" s="1">
        <f>H27-X27</f>
        <v>-2221.3209999999999</v>
      </c>
      <c r="Z27" s="2">
        <v>-2885.3539999999998</v>
      </c>
    </row>
    <row r="28" spans="2:31" s="13" customFormat="1" hidden="1" outlineLevel="1">
      <c r="D28" s="13" t="s">
        <v>39</v>
      </c>
      <c r="F28" s="13">
        <f t="shared" ref="F28:G28" si="35">F27/F25</f>
        <v>0.93816497034318824</v>
      </c>
      <c r="G28" s="13">
        <f t="shared" si="35"/>
        <v>0.94381528402176473</v>
      </c>
      <c r="H28" s="13">
        <f>H27/H25</f>
        <v>0.93638665223046313</v>
      </c>
      <c r="X28" s="13">
        <f>X27/X25</f>
        <v>0.9324578207678913</v>
      </c>
      <c r="Y28" s="13">
        <f>Y27/Y25</f>
        <v>0.93962601436180659</v>
      </c>
      <c r="Z28" s="13">
        <f>Z27/Z25</f>
        <v>0.94098052816936995</v>
      </c>
    </row>
    <row r="29" spans="2:31" hidden="1" outlineLevel="1">
      <c r="C29" s="1" t="s">
        <v>40</v>
      </c>
      <c r="F29" s="2">
        <v>-147.899</v>
      </c>
      <c r="G29" s="2">
        <v>-165.98</v>
      </c>
      <c r="H29" s="2">
        <v>-254.09899999999999</v>
      </c>
      <c r="I29" s="2"/>
      <c r="J29" s="2"/>
      <c r="X29" s="2">
        <v>-122.227</v>
      </c>
      <c r="Y29" s="1">
        <f t="shared" ref="Y29:Y30" si="36">H29-X29</f>
        <v>-131.87199999999999</v>
      </c>
      <c r="Z29" s="2">
        <v>-167.23099999999999</v>
      </c>
    </row>
    <row r="30" spans="2:31" hidden="1" outlineLevel="1">
      <c r="C30" s="1" t="s">
        <v>41</v>
      </c>
      <c r="F30" s="2">
        <v>-12.856</v>
      </c>
      <c r="G30" s="2">
        <v>-12.647</v>
      </c>
      <c r="H30" s="2">
        <v>-20.28</v>
      </c>
      <c r="I30" s="2"/>
      <c r="J30" s="2"/>
      <c r="X30" s="2">
        <v>-9.4250000000000007</v>
      </c>
      <c r="Y30" s="1">
        <f t="shared" si="36"/>
        <v>-10.855</v>
      </c>
      <c r="Z30" s="2">
        <v>-13.742000000000001</v>
      </c>
    </row>
    <row r="31" spans="2:31" collapsed="1"/>
    <row r="32" spans="2:31" s="6" customFormat="1">
      <c r="B32" s="6" t="s">
        <v>42</v>
      </c>
      <c r="C32" s="6" t="s">
        <v>29</v>
      </c>
      <c r="F32" s="6">
        <f t="shared" ref="F32:K32" si="37">F5+F25</f>
        <v>3156.942</v>
      </c>
      <c r="G32" s="6">
        <f t="shared" si="37"/>
        <v>4628.4049999999997</v>
      </c>
      <c r="H32" s="6">
        <f t="shared" si="37"/>
        <v>6323.9400000000005</v>
      </c>
      <c r="I32" s="6">
        <f t="shared" si="37"/>
        <v>10034.066999999999</v>
      </c>
      <c r="J32" s="6">
        <f t="shared" si="37"/>
        <v>15316.800000000001</v>
      </c>
      <c r="K32" s="6">
        <f t="shared" si="37"/>
        <v>16352.79</v>
      </c>
      <c r="L32" s="6">
        <f t="shared" ref="L32:U32" si="38">L33*L5</f>
        <v>36370.528321237944</v>
      </c>
      <c r="M32" s="6">
        <f t="shared" si="38"/>
        <v>48925.575254444651</v>
      </c>
      <c r="N32" s="6">
        <f t="shared" si="38"/>
        <v>58060.276461085436</v>
      </c>
      <c r="O32" s="6">
        <f t="shared" si="38"/>
        <v>66382.875575960148</v>
      </c>
      <c r="P32" s="6">
        <f t="shared" si="38"/>
        <v>74999.409642063125</v>
      </c>
      <c r="Q32" s="6">
        <f t="shared" si="38"/>
        <v>84668.625123436272</v>
      </c>
      <c r="R32" s="6">
        <f t="shared" si="38"/>
        <v>93031.422442599098</v>
      </c>
      <c r="S32" s="6">
        <f t="shared" si="38"/>
        <v>100717.17441878389</v>
      </c>
      <c r="T32" s="6">
        <f t="shared" si="38"/>
        <v>108566.18402600601</v>
      </c>
      <c r="U32" s="6">
        <f t="shared" si="38"/>
        <v>117152.3176268799</v>
      </c>
      <c r="X32" s="6">
        <f t="shared" ref="X32:AE32" si="39">X5+X25</f>
        <v>2806.8829999999998</v>
      </c>
      <c r="Y32" s="6">
        <f t="shared" si="39"/>
        <v>3517.0570000000007</v>
      </c>
      <c r="Z32" s="6">
        <f t="shared" si="39"/>
        <v>4276.317</v>
      </c>
      <c r="AA32" s="6">
        <f t="shared" si="39"/>
        <v>5757.7499999999982</v>
      </c>
      <c r="AB32" s="6">
        <f t="shared" si="39"/>
        <v>6792.0430000000006</v>
      </c>
      <c r="AC32" s="6">
        <f t="shared" si="39"/>
        <v>8524.7570000000014</v>
      </c>
      <c r="AD32" s="6">
        <f t="shared" si="39"/>
        <v>5412.4209999999994</v>
      </c>
      <c r="AE32" s="6">
        <f t="shared" si="39"/>
        <v>10940.369000000002</v>
      </c>
    </row>
    <row r="33" spans="2:31" s="8" customFormat="1">
      <c r="B33" s="8" t="s">
        <v>43</v>
      </c>
      <c r="F33" s="8">
        <f t="shared" ref="F33:I33" si="40">F32/F$5</f>
        <v>0.54839610734099953</v>
      </c>
      <c r="G33" s="8">
        <f t="shared" si="40"/>
        <v>0.59280111930730817</v>
      </c>
      <c r="H33" s="8">
        <f t="shared" si="40"/>
        <v>0.59451339030964068</v>
      </c>
      <c r="I33" s="8">
        <f t="shared" si="40"/>
        <v>0.59131403551160644</v>
      </c>
      <c r="J33" s="8">
        <f>J32/J$5</f>
        <v>0.57677812810101847</v>
      </c>
      <c r="K33" s="8">
        <f>K32/K$5</f>
        <v>0.57149102781113825</v>
      </c>
      <c r="L33" s="9">
        <v>0.56999999999999995</v>
      </c>
      <c r="M33" s="9">
        <v>0.57999999999999996</v>
      </c>
      <c r="N33" s="9">
        <v>0.58499999999999996</v>
      </c>
      <c r="O33" s="9">
        <v>0.59</v>
      </c>
      <c r="P33" s="9">
        <v>0.59499999999999997</v>
      </c>
      <c r="Q33" s="9">
        <v>0.6</v>
      </c>
      <c r="R33" s="9">
        <v>0.6</v>
      </c>
      <c r="S33" s="9">
        <v>0.6</v>
      </c>
      <c r="T33" s="9">
        <v>0.6</v>
      </c>
      <c r="U33" s="9">
        <v>0.6</v>
      </c>
      <c r="X33" s="8">
        <f>X32/X$5</f>
        <v>0.59016918397877238</v>
      </c>
      <c r="Y33" s="8">
        <f t="shared" ref="Y33:AE33" si="41">Y32/Y$5</f>
        <v>0.59802656133498733</v>
      </c>
      <c r="Z33" s="8">
        <f t="shared" si="41"/>
        <v>0.58239470686581019</v>
      </c>
      <c r="AA33" s="8">
        <f t="shared" si="41"/>
        <v>0.5981173133705695</v>
      </c>
      <c r="AB33" s="8">
        <f t="shared" si="41"/>
        <v>0.58078325890883564</v>
      </c>
      <c r="AC33" s="8">
        <f t="shared" si="41"/>
        <v>0.57362638974626901</v>
      </c>
      <c r="AD33" s="8">
        <f t="shared" si="41"/>
        <v>0.55451695873360307</v>
      </c>
      <c r="AE33" s="8">
        <f t="shared" si="41"/>
        <v>0.5802785667496746</v>
      </c>
    </row>
    <row r="35" spans="2:31" s="6" customFormat="1">
      <c r="B35" s="6" t="s">
        <v>44</v>
      </c>
      <c r="F35" s="6">
        <f>F37+F42+F44+F45+F46+F48</f>
        <v>-2637.348</v>
      </c>
      <c r="G35" s="6">
        <f>G37+G42+G44+G45+G46+G48</f>
        <v>-3348.4670000000006</v>
      </c>
      <c r="H35" s="6">
        <f>H37+H42+H44+H45+H46+H48</f>
        <v>-4807.5729999999994</v>
      </c>
      <c r="I35" s="6">
        <f>I37+I42+I44+I45+I46+I48</f>
        <v>-7890.8670000000002</v>
      </c>
      <c r="J35" s="6">
        <f>J37+J42+J44+J45+J46+J48</f>
        <v>-12255.808999999999</v>
      </c>
      <c r="K35" s="6">
        <f t="shared" ref="K35:U35" si="42">K37+K42+K44+K45+K46+K48</f>
        <v>-15362.849999999999</v>
      </c>
      <c r="L35" s="6">
        <f t="shared" si="42"/>
        <v>-30979.828320745859</v>
      </c>
      <c r="M35" s="6">
        <f t="shared" si="42"/>
        <v>-40058.18912257575</v>
      </c>
      <c r="N35" s="6">
        <f t="shared" si="42"/>
        <v>-47941.691702690892</v>
      </c>
      <c r="O35" s="6">
        <f t="shared" si="42"/>
        <v>-55829.069921069597</v>
      </c>
      <c r="P35" s="6">
        <f t="shared" si="42"/>
        <v>-64117.583578069294</v>
      </c>
      <c r="Q35" s="6">
        <f t="shared" si="42"/>
        <v>-72931.769451127213</v>
      </c>
      <c r="R35" s="6">
        <f t="shared" si="42"/>
        <v>-80644.499981434783</v>
      </c>
      <c r="S35" s="6">
        <f t="shared" si="42"/>
        <v>-88348.770625924706</v>
      </c>
      <c r="T35" s="6">
        <f t="shared" si="42"/>
        <v>-96371.883060125096</v>
      </c>
      <c r="U35" s="6">
        <f t="shared" si="42"/>
        <v>-104826.2298408839</v>
      </c>
      <c r="X35" s="6">
        <f t="shared" ref="X35:AE35" si="43">X37+X42+X44+X45+X46+X48</f>
        <v>-2090.848</v>
      </c>
      <c r="Y35" s="6">
        <f t="shared" si="43"/>
        <v>-2716.7250000000004</v>
      </c>
      <c r="Z35" s="6">
        <f t="shared" si="43"/>
        <v>-3417.6420000000007</v>
      </c>
      <c r="AA35" s="6">
        <f t="shared" si="43"/>
        <v>-4473.2250000000004</v>
      </c>
      <c r="AB35" s="6">
        <f t="shared" si="43"/>
        <v>-5573.232</v>
      </c>
      <c r="AC35" s="6">
        <f t="shared" si="43"/>
        <v>-6682.5770000000002</v>
      </c>
      <c r="AD35" s="6">
        <f t="shared" si="43"/>
        <v>-6409.0540000000001</v>
      </c>
      <c r="AE35" s="6">
        <f t="shared" si="43"/>
        <v>-8953.7960000000003</v>
      </c>
    </row>
    <row r="36" spans="2:31" s="8" customFormat="1">
      <c r="C36" s="8" t="s">
        <v>30</v>
      </c>
      <c r="G36" s="8">
        <f t="shared" ref="G36:I36" si="44">G35/F35-1</f>
        <v>0.26963411730268461</v>
      </c>
      <c r="H36" s="8">
        <f t="shared" si="44"/>
        <v>0.43575343582600601</v>
      </c>
      <c r="I36" s="8">
        <f t="shared" si="44"/>
        <v>0.64134106751993181</v>
      </c>
      <c r="J36" s="8">
        <f>J35/I35-1</f>
        <v>0.55316380316636926</v>
      </c>
      <c r="K36" s="8">
        <f>K35/J35-1</f>
        <v>0.25351578178152079</v>
      </c>
      <c r="L36" s="8">
        <f t="shared" ref="L36:U36" si="45">L35/K35-1</f>
        <v>1.0165417432797863</v>
      </c>
      <c r="M36" s="8">
        <f t="shared" si="45"/>
        <v>0.29304103004826865</v>
      </c>
      <c r="N36" s="8">
        <f t="shared" si="45"/>
        <v>0.19680127216914567</v>
      </c>
      <c r="O36" s="8">
        <f t="shared" si="45"/>
        <v>0.16452023151982353</v>
      </c>
      <c r="P36" s="8">
        <f t="shared" si="45"/>
        <v>0.14846232739893184</v>
      </c>
      <c r="Q36" s="8">
        <f t="shared" si="45"/>
        <v>0.13746909008705543</v>
      </c>
      <c r="R36" s="8">
        <f t="shared" si="45"/>
        <v>0.10575268622100276</v>
      </c>
      <c r="S36" s="8">
        <f t="shared" si="45"/>
        <v>9.553373939033083E-2</v>
      </c>
      <c r="T36" s="8">
        <f t="shared" si="45"/>
        <v>9.0811817497391534E-2</v>
      </c>
      <c r="U36" s="8">
        <f t="shared" si="45"/>
        <v>8.7726279826702669E-2</v>
      </c>
      <c r="Z36" s="8">
        <f>Z35/X35-1</f>
        <v>0.63457219271797882</v>
      </c>
      <c r="AA36" s="8">
        <f t="shared" ref="AA36:AE36" si="46">AA35/Y35-1</f>
        <v>0.64655053419098363</v>
      </c>
      <c r="AB36" s="8">
        <f t="shared" si="46"/>
        <v>0.63072434151967904</v>
      </c>
      <c r="AC36" s="8">
        <f t="shared" si="46"/>
        <v>0.49390585092410944</v>
      </c>
      <c r="AD36" s="8">
        <f t="shared" si="46"/>
        <v>0.1499707889425741</v>
      </c>
      <c r="AE36" s="8">
        <f t="shared" si="46"/>
        <v>0.33987172912485697</v>
      </c>
    </row>
    <row r="37" spans="2:31">
      <c r="C37" s="1" t="s">
        <v>45</v>
      </c>
      <c r="F37" s="2">
        <v>-1571.877</v>
      </c>
      <c r="G37" s="2">
        <v>-2044.2919999999999</v>
      </c>
      <c r="H37" s="2">
        <v>-3119.6990000000001</v>
      </c>
      <c r="I37" s="2">
        <v>-5016.3209999999999</v>
      </c>
      <c r="J37" s="2">
        <v>-7992.5550000000003</v>
      </c>
      <c r="K37" s="2">
        <v>-9676.51</v>
      </c>
      <c r="L37" s="1">
        <f t="shared" ref="L37:P37" si="47">-L40*L38</f>
        <v>-20606.174868002508</v>
      </c>
      <c r="M37" s="1">
        <f t="shared" si="47"/>
        <v>-26224.209375301147</v>
      </c>
      <c r="N37" s="1">
        <f t="shared" si="47"/>
        <v>-30873.319210882422</v>
      </c>
      <c r="O37" s="1">
        <f t="shared" si="47"/>
        <v>-35777.773848160803</v>
      </c>
      <c r="P37" s="1">
        <f t="shared" si="47"/>
        <v>-40948.709776386087</v>
      </c>
      <c r="Q37" s="1">
        <f>-Q40*Q38</f>
        <v>-46397.701863841539</v>
      </c>
      <c r="R37" s="1">
        <f t="shared" ref="R37:U37" si="48">-R40*R38</f>
        <v>-50687.730731749318</v>
      </c>
      <c r="S37" s="1">
        <f t="shared" si="48"/>
        <v>-55193.4034000541</v>
      </c>
      <c r="T37" s="1">
        <f t="shared" si="48"/>
        <v>-59923.7974707986</v>
      </c>
      <c r="U37" s="1">
        <f t="shared" si="48"/>
        <v>-64888.341122727717</v>
      </c>
      <c r="X37" s="2">
        <v>-1390.723</v>
      </c>
      <c r="Y37" s="1">
        <f t="shared" ref="Y37:Y48" si="49">H37-X37</f>
        <v>-1728.9760000000001</v>
      </c>
      <c r="Z37" s="2">
        <v>-2202.7170000000001</v>
      </c>
      <c r="AA37" s="1">
        <f t="shared" ref="AA37:AA48" si="50">I37-Z37</f>
        <v>-2813.6039999999998</v>
      </c>
      <c r="AB37" s="2">
        <v>-3651.9189999999999</v>
      </c>
      <c r="AC37" s="1">
        <f t="shared" ref="AC37:AC48" si="51">J37-AB37</f>
        <v>-4340.6360000000004</v>
      </c>
      <c r="AD37" s="2">
        <v>-4074.0120000000002</v>
      </c>
      <c r="AE37" s="1">
        <f>K37-AD37</f>
        <v>-5602.4979999999996</v>
      </c>
    </row>
    <row r="38" spans="2:31" s="14" customFormat="1" hidden="1" outlineLevel="1">
      <c r="D38" s="14" t="s">
        <v>46</v>
      </c>
      <c r="I38" s="14">
        <v>69.055999999999997</v>
      </c>
      <c r="J38" s="14">
        <v>102.79300000000001</v>
      </c>
      <c r="K38" s="14">
        <f t="shared" ref="K38:U38" si="52">K263*K39/98%/1000</f>
        <v>165.5612244897959</v>
      </c>
      <c r="L38" s="14">
        <f t="shared" si="52"/>
        <v>233.90816326530611</v>
      </c>
      <c r="M38" s="14">
        <f t="shared" si="52"/>
        <v>289.01020408163265</v>
      </c>
      <c r="N38" s="14">
        <f t="shared" si="52"/>
        <v>330.33673469387759</v>
      </c>
      <c r="O38" s="14">
        <f t="shared" si="52"/>
        <v>371.66326530612247</v>
      </c>
      <c r="P38" s="14">
        <f t="shared" si="52"/>
        <v>412.98979591836735</v>
      </c>
      <c r="Q38" s="14">
        <f t="shared" si="52"/>
        <v>454.31632653061223</v>
      </c>
      <c r="R38" s="14">
        <f t="shared" si="52"/>
        <v>481.86734693877548</v>
      </c>
      <c r="S38" s="14">
        <f t="shared" si="52"/>
        <v>509.41836734693874</v>
      </c>
      <c r="T38" s="14">
        <f t="shared" si="52"/>
        <v>536.96938775510205</v>
      </c>
      <c r="U38" s="14">
        <f t="shared" si="52"/>
        <v>564.5204081632653</v>
      </c>
      <c r="AA38" s="14">
        <v>69.055999999999997</v>
      </c>
      <c r="AB38" s="14">
        <v>88.378</v>
      </c>
      <c r="AC38" s="14">
        <v>102.79300000000001</v>
      </c>
      <c r="AD38" s="14">
        <v>92.179000000000002</v>
      </c>
    </row>
    <row r="39" spans="2:31" s="14" customFormat="1" hidden="1" outlineLevel="1">
      <c r="D39" s="14" t="s">
        <v>47</v>
      </c>
      <c r="I39" s="14">
        <f>I38*1000*98%/I263</f>
        <v>145.2250643776824</v>
      </c>
      <c r="J39" s="14">
        <f>J38*1000*98%/J263</f>
        <v>131.16815104166668</v>
      </c>
      <c r="K39" s="3">
        <v>125</v>
      </c>
      <c r="L39" s="3">
        <v>135</v>
      </c>
      <c r="M39" s="3">
        <v>135</v>
      </c>
      <c r="N39" s="3">
        <v>135</v>
      </c>
      <c r="O39" s="3">
        <v>135</v>
      </c>
      <c r="P39" s="3">
        <v>135</v>
      </c>
      <c r="Q39" s="3">
        <v>135</v>
      </c>
      <c r="R39" s="3">
        <v>135</v>
      </c>
      <c r="S39" s="3">
        <v>135</v>
      </c>
      <c r="T39" s="3">
        <v>135</v>
      </c>
      <c r="U39" s="3">
        <v>135</v>
      </c>
      <c r="AA39" s="14">
        <f>AA38*1000*98%/AA263</f>
        <v>145.2250643776824</v>
      </c>
      <c r="AB39" s="14">
        <f>AB38*1000*98%/AB263</f>
        <v>146.05470489038785</v>
      </c>
      <c r="AC39" s="14">
        <f>AC38*1000*98%/AC263</f>
        <v>131.16815104166668</v>
      </c>
      <c r="AD39" s="14">
        <f>AD38*1000*98%/AD263</f>
        <v>96.61542245989304</v>
      </c>
    </row>
    <row r="40" spans="2:31" s="14" customFormat="1" hidden="1" outlineLevel="1">
      <c r="D40" s="14" t="s">
        <v>48</v>
      </c>
      <c r="I40" s="14">
        <f>-I37/I38</f>
        <v>72.641349050046344</v>
      </c>
      <c r="J40" s="14">
        <f>-J37/J38</f>
        <v>77.753884019339836</v>
      </c>
      <c r="K40" s="14">
        <f>J40*(1+K41)</f>
        <v>85.529272421273831</v>
      </c>
      <c r="L40" s="14">
        <f t="shared" ref="L40:U40" si="53">K40*(1+L41)</f>
        <v>88.095150593912052</v>
      </c>
      <c r="M40" s="14">
        <f t="shared" si="53"/>
        <v>90.738005111729422</v>
      </c>
      <c r="N40" s="14">
        <f t="shared" si="53"/>
        <v>93.460145265081309</v>
      </c>
      <c r="O40" s="14">
        <f t="shared" si="53"/>
        <v>96.263949623033753</v>
      </c>
      <c r="P40" s="14">
        <f t="shared" si="53"/>
        <v>99.151868111724767</v>
      </c>
      <c r="Q40" s="14">
        <f t="shared" si="53"/>
        <v>102.12642415507651</v>
      </c>
      <c r="R40" s="14">
        <f t="shared" si="53"/>
        <v>105.19021687972881</v>
      </c>
      <c r="S40" s="14">
        <f t="shared" si="53"/>
        <v>108.34592338612067</v>
      </c>
      <c r="T40" s="14">
        <f t="shared" si="53"/>
        <v>111.59630108770429</v>
      </c>
      <c r="U40" s="14">
        <f t="shared" si="53"/>
        <v>114.94419012033542</v>
      </c>
      <c r="AA40" s="14">
        <f>(-AA37-Z37)/AA38</f>
        <v>72.641349050046344</v>
      </c>
      <c r="AB40" s="14">
        <f t="shared" ref="AB40:AD40" si="54">(-AB37-AA37)/AB38</f>
        <v>73.15760709678878</v>
      </c>
      <c r="AC40" s="14">
        <f t="shared" si="54"/>
        <v>77.753884019339836</v>
      </c>
      <c r="AD40" s="14">
        <f t="shared" si="54"/>
        <v>91.285954501567616</v>
      </c>
    </row>
    <row r="41" spans="2:31" s="8" customFormat="1" hidden="1" outlineLevel="1">
      <c r="E41" s="8" t="s">
        <v>30</v>
      </c>
      <c r="J41" s="8">
        <f>J40/I40-1</f>
        <v>7.038050691722697E-2</v>
      </c>
      <c r="K41" s="9">
        <v>0.1</v>
      </c>
      <c r="L41" s="9">
        <v>0.03</v>
      </c>
      <c r="M41" s="9">
        <v>0.03</v>
      </c>
      <c r="N41" s="9">
        <v>0.03</v>
      </c>
      <c r="O41" s="9">
        <v>0.03</v>
      </c>
      <c r="P41" s="9">
        <v>0.03</v>
      </c>
      <c r="Q41" s="9">
        <v>0.03</v>
      </c>
      <c r="R41" s="9">
        <v>0.03</v>
      </c>
      <c r="S41" s="9">
        <v>0.03</v>
      </c>
      <c r="T41" s="9">
        <v>0.03</v>
      </c>
      <c r="U41" s="9">
        <v>0.03</v>
      </c>
    </row>
    <row r="42" spans="2:31" collapsed="1">
      <c r="C42" s="1" t="s">
        <v>49</v>
      </c>
      <c r="F42" s="2">
        <v>-269.48200000000003</v>
      </c>
      <c r="G42" s="2">
        <v>-298.36700000000002</v>
      </c>
      <c r="H42" s="2">
        <v>-414.86200000000002</v>
      </c>
      <c r="I42" s="2">
        <v>-684.91</v>
      </c>
      <c r="J42" s="2">
        <v>-240.23</v>
      </c>
      <c r="K42" s="2">
        <v>-235.96100000000001</v>
      </c>
      <c r="L42" s="1">
        <f t="shared" ref="L42:U42" si="55">L43*L296</f>
        <v>-424.5</v>
      </c>
      <c r="M42" s="1">
        <f t="shared" si="55"/>
        <v>-524.5</v>
      </c>
      <c r="N42" s="1">
        <f t="shared" si="55"/>
        <v>-599.5</v>
      </c>
      <c r="O42" s="1">
        <f t="shared" si="55"/>
        <v>-674.5</v>
      </c>
      <c r="P42" s="1">
        <f t="shared" si="55"/>
        <v>-749.5</v>
      </c>
      <c r="Q42" s="1">
        <f t="shared" si="55"/>
        <v>-824.5</v>
      </c>
      <c r="R42" s="1">
        <f t="shared" si="55"/>
        <v>-874.5</v>
      </c>
      <c r="S42" s="1">
        <f t="shared" si="55"/>
        <v>-924.5</v>
      </c>
      <c r="T42" s="1">
        <f t="shared" si="55"/>
        <v>-974.5</v>
      </c>
      <c r="U42" s="1">
        <f t="shared" si="55"/>
        <v>-1024.5</v>
      </c>
      <c r="X42" s="2">
        <v>-179.34700000000001</v>
      </c>
      <c r="Y42" s="1">
        <f t="shared" si="49"/>
        <v>-235.51500000000001</v>
      </c>
      <c r="Z42" s="2">
        <v>-272.30099999999999</v>
      </c>
      <c r="AA42" s="1">
        <f t="shared" si="50"/>
        <v>-412.60899999999998</v>
      </c>
      <c r="AB42" s="2">
        <v>-96.11</v>
      </c>
      <c r="AC42" s="1">
        <f t="shared" si="51"/>
        <v>-144.12</v>
      </c>
      <c r="AD42" s="2">
        <v>-88.149000000000001</v>
      </c>
      <c r="AE42" s="1">
        <f>K42-AD42</f>
        <v>-147.81200000000001</v>
      </c>
    </row>
    <row r="43" spans="2:31" s="10" customFormat="1" hidden="1" outlineLevel="1">
      <c r="D43" s="10" t="s">
        <v>50</v>
      </c>
      <c r="F43" s="15"/>
      <c r="G43" s="15"/>
      <c r="H43" s="15"/>
      <c r="I43" s="15"/>
      <c r="J43" s="15">
        <f>J42/J296</f>
        <v>-0.31279947916666667</v>
      </c>
      <c r="K43" s="16">
        <v>-0.2</v>
      </c>
      <c r="L43" s="16">
        <v>-0.25</v>
      </c>
      <c r="M43" s="16">
        <v>-0.25</v>
      </c>
      <c r="N43" s="16">
        <v>-0.25</v>
      </c>
      <c r="O43" s="16">
        <v>-0.25</v>
      </c>
      <c r="P43" s="16">
        <v>-0.25</v>
      </c>
      <c r="Q43" s="16">
        <v>-0.25</v>
      </c>
      <c r="R43" s="16">
        <v>-0.25</v>
      </c>
      <c r="S43" s="16">
        <v>-0.25</v>
      </c>
      <c r="T43" s="16">
        <v>-0.25</v>
      </c>
      <c r="U43" s="16">
        <v>-0.25</v>
      </c>
      <c r="AB43" s="15">
        <f>AB42/AB296</f>
        <v>-0.16207419898819561</v>
      </c>
      <c r="AC43" s="15">
        <f>AC42/AC296</f>
        <v>-0.18765625</v>
      </c>
      <c r="AD43" s="15">
        <f>AD42/AD296</f>
        <v>-9.427700534759359E-2</v>
      </c>
      <c r="AE43" s="15"/>
    </row>
    <row r="44" spans="2:31" collapsed="1">
      <c r="C44" s="1" t="s">
        <v>51</v>
      </c>
      <c r="F44" s="2">
        <v>-221.483</v>
      </c>
      <c r="G44" s="2">
        <v>-262.98500000000001</v>
      </c>
      <c r="H44" s="2">
        <v>-348.577</v>
      </c>
      <c r="I44" s="2">
        <v>-594.77200000000005</v>
      </c>
      <c r="J44" s="2">
        <v>-911.63499999999999</v>
      </c>
      <c r="K44" s="2">
        <v>-978.21199999999999</v>
      </c>
      <c r="L44" s="1">
        <f t="shared" ref="L44:U44" si="56">L53*L$5</f>
        <v>-2190.4658469333631</v>
      </c>
      <c r="M44" s="1">
        <f t="shared" si="56"/>
        <v>-2895.8074379771938</v>
      </c>
      <c r="N44" s="1">
        <f t="shared" si="56"/>
        <v>-3407.1006669737599</v>
      </c>
      <c r="O44" s="1">
        <f t="shared" si="56"/>
        <v>-3862.4758922451001</v>
      </c>
      <c r="P44" s="1">
        <f t="shared" si="56"/>
        <v>-4327.1565866797664</v>
      </c>
      <c r="Q44" s="1">
        <f t="shared" si="56"/>
        <v>-4844.3218504148936</v>
      </c>
      <c r="R44" s="1">
        <f t="shared" si="56"/>
        <v>-5322.7999374837455</v>
      </c>
      <c r="S44" s="1">
        <f t="shared" si="56"/>
        <v>-5762.5408235654731</v>
      </c>
      <c r="T44" s="1">
        <f t="shared" si="56"/>
        <v>-6211.6225074708109</v>
      </c>
      <c r="U44" s="1">
        <f t="shared" si="56"/>
        <v>-6702.8787969482419</v>
      </c>
      <c r="X44" s="2">
        <v>-148.863</v>
      </c>
      <c r="Y44" s="1">
        <f t="shared" si="49"/>
        <v>-199.714</v>
      </c>
      <c r="Z44" s="2">
        <v>-254.63499999999999</v>
      </c>
      <c r="AA44" s="1">
        <f t="shared" si="50"/>
        <v>-340.13700000000006</v>
      </c>
      <c r="AB44" s="2">
        <v>-439.14600000000002</v>
      </c>
      <c r="AC44" s="1">
        <f t="shared" si="51"/>
        <v>-472.48899999999998</v>
      </c>
      <c r="AD44" s="2">
        <v>-359.97899999999998</v>
      </c>
      <c r="AE44" s="1">
        <f>K44-AD44</f>
        <v>-618.23299999999995</v>
      </c>
    </row>
    <row r="45" spans="2:31">
      <c r="C45" s="1" t="s">
        <v>52</v>
      </c>
      <c r="F45" s="2">
        <v>-239.179</v>
      </c>
      <c r="G45" s="2">
        <v>-285.91800000000001</v>
      </c>
      <c r="H45" s="2">
        <v>-359.839</v>
      </c>
      <c r="I45" s="2">
        <v>-689.32100000000003</v>
      </c>
      <c r="J45" s="2">
        <v>-1891.3240000000001</v>
      </c>
      <c r="K45" s="2">
        <v>-3033.6990000000001</v>
      </c>
      <c r="L45" s="1">
        <f t="shared" ref="L45:U45" si="57">-L213-L214-L215</f>
        <v>-5254.7715532978209</v>
      </c>
      <c r="M45" s="1">
        <f t="shared" si="57"/>
        <v>-7122.9694088878241</v>
      </c>
      <c r="N45" s="1">
        <f t="shared" si="57"/>
        <v>-9182.123074203706</v>
      </c>
      <c r="O45" s="1">
        <f t="shared" si="57"/>
        <v>-11109.502439448303</v>
      </c>
      <c r="P45" s="1">
        <f t="shared" si="57"/>
        <v>-13157.614624503482</v>
      </c>
      <c r="Q45" s="1">
        <f t="shared" si="57"/>
        <v>-15351.082731959763</v>
      </c>
      <c r="R45" s="1">
        <f t="shared" si="57"/>
        <v>-17711.463673856015</v>
      </c>
      <c r="S45" s="1">
        <f t="shared" si="57"/>
        <v>-19928.503145638391</v>
      </c>
      <c r="T45" s="1">
        <f t="shared" si="57"/>
        <v>-22224.401646500075</v>
      </c>
      <c r="U45" s="1">
        <f t="shared" si="57"/>
        <v>-24636.863990776077</v>
      </c>
      <c r="X45" s="2">
        <v>-162.99700000000001</v>
      </c>
      <c r="Y45" s="1">
        <f t="shared" si="49"/>
        <v>-196.84199999999998</v>
      </c>
      <c r="Z45" s="2">
        <v>-293.57</v>
      </c>
      <c r="AA45" s="1">
        <f t="shared" si="50"/>
        <v>-395.75100000000003</v>
      </c>
      <c r="AB45" s="2">
        <v>-830.14400000000001</v>
      </c>
      <c r="AC45" s="1">
        <f t="shared" si="51"/>
        <v>-1061.18</v>
      </c>
      <c r="AD45" s="2">
        <v>-1296.99</v>
      </c>
      <c r="AE45" s="1">
        <f>K45-AD45</f>
        <v>-1736.7090000000001</v>
      </c>
    </row>
    <row r="46" spans="2:31">
      <c r="C46" s="1" t="s">
        <v>53</v>
      </c>
      <c r="F46" s="2">
        <v>-67.213999999999999</v>
      </c>
      <c r="G46" s="2">
        <v>-84.483000000000004</v>
      </c>
      <c r="H46" s="2">
        <v>-119.598</v>
      </c>
      <c r="I46" s="2">
        <v>-159.47</v>
      </c>
      <c r="J46" s="2">
        <v>-219.934</v>
      </c>
      <c r="K46" s="2">
        <v>-186.23</v>
      </c>
      <c r="L46" s="1">
        <f t="shared" ref="L46:U46" si="58">K46*(1+L47)</f>
        <v>-270.63799769930978</v>
      </c>
      <c r="M46" s="1">
        <f t="shared" si="58"/>
        <v>-338.29749712413724</v>
      </c>
      <c r="N46" s="1">
        <f t="shared" si="58"/>
        <v>-405.9569965489647</v>
      </c>
      <c r="O46" s="1">
        <f t="shared" si="58"/>
        <v>-466.85054603130936</v>
      </c>
      <c r="P46" s="1">
        <f t="shared" si="58"/>
        <v>-522.87261155506656</v>
      </c>
      <c r="Q46" s="1">
        <f t="shared" si="58"/>
        <v>-575.15987271057327</v>
      </c>
      <c r="R46" s="1">
        <f t="shared" si="58"/>
        <v>-621.17266252741922</v>
      </c>
      <c r="S46" s="1">
        <f t="shared" si="58"/>
        <v>-664.65474890433859</v>
      </c>
      <c r="T46" s="1">
        <f t="shared" si="58"/>
        <v>-704.53403383859893</v>
      </c>
      <c r="U46" s="1">
        <f t="shared" si="58"/>
        <v>-739.7607355305289</v>
      </c>
      <c r="X46" s="2">
        <v>-47.984999999999999</v>
      </c>
      <c r="Y46" s="1">
        <f t="shared" si="49"/>
        <v>-71.613</v>
      </c>
      <c r="Z46" s="2">
        <v>-72.387</v>
      </c>
      <c r="AA46" s="1">
        <f t="shared" si="50"/>
        <v>-87.082999999999998</v>
      </c>
      <c r="AB46" s="2">
        <v>-94.343000000000004</v>
      </c>
      <c r="AC46" s="1">
        <f t="shared" si="51"/>
        <v>-125.59099999999999</v>
      </c>
      <c r="AD46" s="2">
        <v>-79.144000000000005</v>
      </c>
      <c r="AE46" s="1">
        <f>K46-AD46</f>
        <v>-107.08599999999998</v>
      </c>
    </row>
    <row r="47" spans="2:31" s="8" customFormat="1">
      <c r="E47" s="8" t="s">
        <v>30</v>
      </c>
      <c r="H47" s="8">
        <f t="shared" ref="H47:I47" si="59">H46/G46-1</f>
        <v>0.41564575121622083</v>
      </c>
      <c r="I47" s="8">
        <f t="shared" si="59"/>
        <v>0.33338350139634443</v>
      </c>
      <c r="J47" s="8">
        <f>J46/I46-1</f>
        <v>0.37915595409794944</v>
      </c>
      <c r="K47" s="8">
        <f>K46/J46-1</f>
        <v>-0.15324597379213767</v>
      </c>
      <c r="L47" s="9">
        <f>-K47+30%</f>
        <v>0.45324597379213766</v>
      </c>
      <c r="M47" s="9">
        <v>0.25</v>
      </c>
      <c r="N47" s="9">
        <v>0.2</v>
      </c>
      <c r="O47" s="9">
        <v>0.15</v>
      </c>
      <c r="P47" s="9">
        <v>0.12</v>
      </c>
      <c r="Q47" s="9">
        <v>0.1</v>
      </c>
      <c r="R47" s="9">
        <v>0.08</v>
      </c>
      <c r="S47" s="9">
        <v>7.0000000000000007E-2</v>
      </c>
      <c r="T47" s="9">
        <v>0.06</v>
      </c>
      <c r="U47" s="9">
        <v>0.05</v>
      </c>
    </row>
    <row r="48" spans="2:31">
      <c r="C48" s="1" t="s">
        <v>54</v>
      </c>
      <c r="F48" s="2">
        <v>-268.113</v>
      </c>
      <c r="G48" s="2">
        <v>-372.42200000000003</v>
      </c>
      <c r="H48" s="2">
        <v>-444.99799999999999</v>
      </c>
      <c r="I48" s="2">
        <f>-85.54-660.533</f>
        <v>-746.07299999999998</v>
      </c>
      <c r="J48" s="2">
        <v>-1000.131</v>
      </c>
      <c r="K48" s="2">
        <v>-1252.2380000000001</v>
      </c>
      <c r="L48" s="1">
        <f t="shared" ref="L48:U48" si="60">L56*L$5</f>
        <v>-2233.2780548128567</v>
      </c>
      <c r="M48" s="1">
        <f t="shared" si="60"/>
        <v>-2952.4054032854538</v>
      </c>
      <c r="N48" s="1">
        <f t="shared" si="60"/>
        <v>-3473.691754082035</v>
      </c>
      <c r="O48" s="1">
        <f t="shared" si="60"/>
        <v>-3937.9671951840769</v>
      </c>
      <c r="P48" s="1">
        <f t="shared" si="60"/>
        <v>-4411.7299789448907</v>
      </c>
      <c r="Q48" s="1">
        <f t="shared" si="60"/>
        <v>-4939.0031322004497</v>
      </c>
      <c r="R48" s="1">
        <f t="shared" si="60"/>
        <v>-5426.8329758182808</v>
      </c>
      <c r="S48" s="1">
        <f t="shared" si="60"/>
        <v>-5875.1685077623943</v>
      </c>
      <c r="T48" s="1">
        <f t="shared" si="60"/>
        <v>-6333.027401517018</v>
      </c>
      <c r="U48" s="1">
        <f t="shared" si="60"/>
        <v>-6833.8851949013278</v>
      </c>
      <c r="X48" s="2">
        <v>-160.93299999999999</v>
      </c>
      <c r="Y48" s="1">
        <f t="shared" si="49"/>
        <v>-284.065</v>
      </c>
      <c r="Z48" s="2">
        <f>-20.659-301.373</f>
        <v>-322.03199999999998</v>
      </c>
      <c r="AA48" s="1">
        <f t="shared" si="50"/>
        <v>-424.041</v>
      </c>
      <c r="AB48" s="2">
        <v>-461.57</v>
      </c>
      <c r="AC48" s="1">
        <f t="shared" si="51"/>
        <v>-538.56099999999992</v>
      </c>
      <c r="AD48" s="2">
        <v>-510.78</v>
      </c>
      <c r="AE48" s="1">
        <f>K48-AD48</f>
        <v>-741.45800000000008</v>
      </c>
    </row>
    <row r="50" spans="2:31" s="10" customFormat="1" ht="19">
      <c r="C50" s="11" t="s">
        <v>55</v>
      </c>
    </row>
    <row r="51" spans="2:31" s="10" customFormat="1">
      <c r="C51" s="10" t="s">
        <v>56</v>
      </c>
      <c r="F51" s="12">
        <f>F37/F$5</f>
        <v>-0.27305260217604516</v>
      </c>
      <c r="G51" s="12">
        <f>G37/G$5</f>
        <v>-0.26183071399131574</v>
      </c>
      <c r="H51" s="12">
        <f>H37/H$5</f>
        <v>-0.29328279984243932</v>
      </c>
      <c r="I51" s="12">
        <f>I37/I$5</f>
        <v>-0.29561502967157954</v>
      </c>
      <c r="J51" s="12">
        <f>J37/J$5</f>
        <v>-0.3009721946910866</v>
      </c>
      <c r="K51" s="12">
        <f t="shared" ref="K51:U51" si="61">K37/K$5</f>
        <v>-0.33817095709813166</v>
      </c>
      <c r="L51" s="12">
        <f t="shared" si="61"/>
        <v>-0.32294058450349306</v>
      </c>
      <c r="M51" s="12">
        <f t="shared" si="61"/>
        <v>-0.3108811977901661</v>
      </c>
      <c r="N51" s="12">
        <f t="shared" si="61"/>
        <v>-0.31107140439593711</v>
      </c>
      <c r="O51" s="12">
        <f t="shared" si="61"/>
        <v>-0.31798692640635218</v>
      </c>
      <c r="P51" s="12">
        <f t="shared" si="61"/>
        <v>-0.32486232135999366</v>
      </c>
      <c r="Q51" s="12">
        <f t="shared" si="61"/>
        <v>-0.3287950061515667</v>
      </c>
      <c r="R51" s="12">
        <f t="shared" si="61"/>
        <v>-0.32690716362865846</v>
      </c>
      <c r="S51" s="12">
        <f t="shared" si="61"/>
        <v>-0.32880233417128379</v>
      </c>
      <c r="T51" s="12">
        <f t="shared" si="61"/>
        <v>-0.33117382548756297</v>
      </c>
      <c r="U51" s="12">
        <f t="shared" si="61"/>
        <v>-0.33232807905375733</v>
      </c>
      <c r="X51" s="12">
        <f t="shared" ref="X51:AC51" si="62">X37/X$5</f>
        <v>-0.29241042752779872</v>
      </c>
      <c r="Y51" s="12">
        <f t="shared" si="62"/>
        <v>-0.29398828961564194</v>
      </c>
      <c r="Z51" s="12">
        <f t="shared" si="62"/>
        <v>-0.29998962226685649</v>
      </c>
      <c r="AA51" s="12">
        <f t="shared" si="62"/>
        <v>-0.29227827977398957</v>
      </c>
      <c r="AB51" s="12">
        <f t="shared" si="62"/>
        <v>-0.31227326123982074</v>
      </c>
      <c r="AC51" s="12">
        <f t="shared" si="62"/>
        <v>-0.29207910065737774</v>
      </c>
      <c r="AD51" s="12">
        <f>AD37/AD$5</f>
        <v>-0.41739338903684764</v>
      </c>
      <c r="AE51" s="12">
        <f>AE37/AE$5</f>
        <v>-0.29715720828592868</v>
      </c>
    </row>
    <row r="52" spans="2:31" s="10" customFormat="1">
      <c r="C52" s="10" t="s">
        <v>57</v>
      </c>
      <c r="F52" s="12">
        <f t="shared" ref="F52:U52" si="63">(F42+F233)/F$5</f>
        <v>-4.6812035127179172E-2</v>
      </c>
      <c r="G52" s="12">
        <f t="shared" si="63"/>
        <v>-3.8214523483654443E-2</v>
      </c>
      <c r="H52" s="12">
        <f t="shared" si="63"/>
        <v>-3.900116290329101E-2</v>
      </c>
      <c r="I52" s="12">
        <f t="shared" si="63"/>
        <v>-4.0362187741247328E-2</v>
      </c>
      <c r="J52" s="12">
        <f t="shared" si="63"/>
        <v>-3.5370212268570261E-2</v>
      </c>
      <c r="K52" s="12">
        <f t="shared" si="63"/>
        <v>-3.5947147089215967E-2</v>
      </c>
      <c r="L52" s="12">
        <f t="shared" si="63"/>
        <v>-2.3926485564004962E-2</v>
      </c>
      <c r="M52" s="12">
        <f t="shared" si="63"/>
        <v>-2.1057969392196528E-2</v>
      </c>
      <c r="N52" s="12">
        <f t="shared" si="63"/>
        <v>-1.9909932643038222E-2</v>
      </c>
      <c r="O52" s="12">
        <f t="shared" si="63"/>
        <v>-1.8412094475388236E-2</v>
      </c>
      <c r="P52" s="12">
        <f t="shared" si="63"/>
        <v>-1.7165927438976214E-2</v>
      </c>
      <c r="Q52" s="12">
        <f t="shared" si="63"/>
        <v>-1.5966099191485516E-2</v>
      </c>
      <c r="R52" s="12">
        <f t="shared" si="63"/>
        <v>-1.4930149614734481E-2</v>
      </c>
      <c r="S52" s="12">
        <f t="shared" si="63"/>
        <v>-1.3651371323219766E-2</v>
      </c>
      <c r="T52" s="12">
        <f t="shared" si="63"/>
        <v>-1.2602662309525833E-2</v>
      </c>
      <c r="U52" s="12">
        <f t="shared" si="63"/>
        <v>-1.1673996929511279E-2</v>
      </c>
      <c r="X52" s="12">
        <f t="shared" ref="X52:AE52" si="64">(X42+X233)/X$5</f>
        <v>-3.7709114572656181E-2</v>
      </c>
      <c r="Y52" s="12">
        <f t="shared" si="64"/>
        <v>-4.004604576860981E-2</v>
      </c>
      <c r="Z52" s="12">
        <f t="shared" si="64"/>
        <v>-3.708487024564993E-2</v>
      </c>
      <c r="AA52" s="12">
        <f t="shared" si="64"/>
        <v>-4.2861983683299444E-2</v>
      </c>
      <c r="AB52" s="12">
        <f t="shared" si="64"/>
        <v>-3.0815179553411971E-2</v>
      </c>
      <c r="AC52" s="12">
        <f t="shared" si="64"/>
        <v>-3.8954682290743538E-2</v>
      </c>
      <c r="AD52" s="12">
        <f t="shared" si="64"/>
        <v>-4.1666884378581043E-2</v>
      </c>
      <c r="AE52" s="12">
        <f t="shared" si="64"/>
        <v>-7.8399673272814552E-3</v>
      </c>
    </row>
    <row r="53" spans="2:31" s="10" customFormat="1">
      <c r="C53" s="10" t="s">
        <v>58</v>
      </c>
      <c r="F53" s="12">
        <f t="shared" ref="F53:I53" si="65">F44/F$5</f>
        <v>-3.8474072391005795E-2</v>
      </c>
      <c r="G53" s="12">
        <f t="shared" si="65"/>
        <v>-3.3682835093521948E-2</v>
      </c>
      <c r="H53" s="12">
        <f t="shared" si="65"/>
        <v>-3.2769712244892203E-2</v>
      </c>
      <c r="I53" s="12">
        <f t="shared" si="65"/>
        <v>-3.5050297305101633E-2</v>
      </c>
      <c r="J53" s="12">
        <f>J44/J$5</f>
        <v>-3.4329045806654905E-2</v>
      </c>
      <c r="K53" s="17">
        <f>J53</f>
        <v>-3.4329045806654905E-2</v>
      </c>
      <c r="L53" s="17">
        <f t="shared" ref="L53:U53" si="66">K53</f>
        <v>-3.4329045806654905E-2</v>
      </c>
      <c r="M53" s="17">
        <f t="shared" si="66"/>
        <v>-3.4329045806654905E-2</v>
      </c>
      <c r="N53" s="17">
        <f t="shared" si="66"/>
        <v>-3.4329045806654905E-2</v>
      </c>
      <c r="O53" s="17">
        <f t="shared" si="66"/>
        <v>-3.4329045806654905E-2</v>
      </c>
      <c r="P53" s="17">
        <f t="shared" si="66"/>
        <v>-3.4329045806654905E-2</v>
      </c>
      <c r="Q53" s="17">
        <f t="shared" si="66"/>
        <v>-3.4329045806654905E-2</v>
      </c>
      <c r="R53" s="17">
        <f t="shared" si="66"/>
        <v>-3.4329045806654905E-2</v>
      </c>
      <c r="S53" s="17">
        <f t="shared" si="66"/>
        <v>-3.4329045806654905E-2</v>
      </c>
      <c r="T53" s="17">
        <f t="shared" si="66"/>
        <v>-3.4329045806654905E-2</v>
      </c>
      <c r="U53" s="17">
        <f t="shared" si="66"/>
        <v>-3.4329045806654905E-2</v>
      </c>
      <c r="X53" s="12">
        <f t="shared" ref="X53:AC53" si="67">X44/X$5</f>
        <v>-3.1299614281974704E-2</v>
      </c>
      <c r="Y53" s="12">
        <f t="shared" si="67"/>
        <v>-3.3958584313662138E-2</v>
      </c>
      <c r="Z53" s="12">
        <f t="shared" si="67"/>
        <v>-3.4678924921322615E-2</v>
      </c>
      <c r="AA53" s="12">
        <f t="shared" si="67"/>
        <v>-3.5333564086305502E-2</v>
      </c>
      <c r="AB53" s="12">
        <f t="shared" si="67"/>
        <v>-3.7551093981115773E-2</v>
      </c>
      <c r="AC53" s="12">
        <f t="shared" si="67"/>
        <v>-3.1793534908364521E-2</v>
      </c>
      <c r="AD53" s="12">
        <f>AD44/AD$5</f>
        <v>-3.6880808105645091E-2</v>
      </c>
      <c r="AE53" s="12">
        <f>AE44/AE$5</f>
        <v>-3.2791157149941783E-2</v>
      </c>
    </row>
    <row r="54" spans="2:31" s="10" customFormat="1">
      <c r="C54" s="10" t="s">
        <v>59</v>
      </c>
      <c r="F54" s="12">
        <f t="shared" ref="F54:U54" si="68">(F45+F215)/F$5</f>
        <v>-4.1548065361261925E-2</v>
      </c>
      <c r="G54" s="12">
        <f t="shared" si="68"/>
        <v>-3.662006899355328E-2</v>
      </c>
      <c r="H54" s="12">
        <f t="shared" si="68"/>
        <v>-3.3828452492533259E-2</v>
      </c>
      <c r="I54" s="12">
        <f t="shared" si="68"/>
        <v>-4.062213081424472E-2</v>
      </c>
      <c r="J54" s="12">
        <f t="shared" si="68"/>
        <v>-4.7194073518876785E-2</v>
      </c>
      <c r="K54" s="12">
        <f t="shared" si="68"/>
        <v>-7.8319675513713952E-2</v>
      </c>
      <c r="L54" s="12">
        <f t="shared" si="68"/>
        <v>-6.5079226885034702E-2</v>
      </c>
      <c r="M54" s="12">
        <f t="shared" si="68"/>
        <v>-6.9600796173405907E-2</v>
      </c>
      <c r="N54" s="12">
        <f t="shared" si="68"/>
        <v>-7.8647116120662927E-2</v>
      </c>
      <c r="O54" s="12">
        <f t="shared" si="68"/>
        <v>-8.632216686764245E-2</v>
      </c>
      <c r="P54" s="12">
        <f t="shared" si="68"/>
        <v>-9.3164717043040066E-2</v>
      </c>
      <c r="Q54" s="12">
        <f t="shared" si="68"/>
        <v>-9.866136316575333E-2</v>
      </c>
      <c r="R54" s="12">
        <f t="shared" si="68"/>
        <v>-0.10493879263640861</v>
      </c>
      <c r="S54" s="12">
        <f t="shared" si="68"/>
        <v>-0.11057572261171061</v>
      </c>
      <c r="T54" s="12">
        <f t="shared" si="68"/>
        <v>-0.11560798737643713</v>
      </c>
      <c r="U54" s="12">
        <f t="shared" si="68"/>
        <v>-0.11975164369249668</v>
      </c>
      <c r="X54" s="12">
        <f t="shared" ref="X54:AE54" si="69">(X45+X215)/X$5</f>
        <v>-3.4271398729832335E-2</v>
      </c>
      <c r="Y54" s="12">
        <f t="shared" si="69"/>
        <v>-3.3470240711566956E-2</v>
      </c>
      <c r="Z54" s="12">
        <f t="shared" si="69"/>
        <v>-3.9981510747354766E-2</v>
      </c>
      <c r="AA54" s="12">
        <f t="shared" si="69"/>
        <v>-4.1110768074980042E-2</v>
      </c>
      <c r="AB54" s="12">
        <f t="shared" si="69"/>
        <v>-4.6377455764724754E-2</v>
      </c>
      <c r="AC54" s="12">
        <f t="shared" si="69"/>
        <v>-4.7836690606914693E-2</v>
      </c>
      <c r="AD54" s="12">
        <f t="shared" si="69"/>
        <v>-9.3207849308521343E-2</v>
      </c>
      <c r="AE54" s="12">
        <f t="shared" si="69"/>
        <v>-9.211526680510139E-2</v>
      </c>
    </row>
    <row r="55" spans="2:31" s="10" customFormat="1">
      <c r="C55" s="10" t="s">
        <v>60</v>
      </c>
      <c r="F55" s="12">
        <f>F46/F$5</f>
        <v>-1.1675822982752913E-2</v>
      </c>
      <c r="G55" s="12">
        <f>G46/G$5</f>
        <v>-1.0820491500298552E-2</v>
      </c>
      <c r="H55" s="12">
        <f>H46/H$5</f>
        <v>-1.1243404025694804E-2</v>
      </c>
      <c r="I55" s="12">
        <f>I46/I$5</f>
        <v>-9.3976698823155028E-3</v>
      </c>
      <c r="J55" s="12">
        <f>J46/J$5</f>
        <v>-8.2819597321744341E-3</v>
      </c>
      <c r="K55" s="12">
        <f t="shared" ref="K55:U55" si="70">K46/K$5</f>
        <v>-6.5082945545847683E-3</v>
      </c>
      <c r="L55" s="12">
        <f t="shared" si="70"/>
        <v>-4.2414467374818684E-3</v>
      </c>
      <c r="M55" s="12">
        <f t="shared" si="70"/>
        <v>-4.0104290508914276E-3</v>
      </c>
      <c r="N55" s="12">
        <f t="shared" si="70"/>
        <v>-4.0903154007597116E-3</v>
      </c>
      <c r="O55" s="12">
        <f t="shared" si="70"/>
        <v>-4.149290306704051E-3</v>
      </c>
      <c r="P55" s="12">
        <f t="shared" si="70"/>
        <v>-4.1481553702894776E-3</v>
      </c>
      <c r="Q55" s="12">
        <f t="shared" si="70"/>
        <v>-4.0758418259802523E-3</v>
      </c>
      <c r="R55" s="12">
        <f t="shared" si="70"/>
        <v>-4.006211962914054E-3</v>
      </c>
      <c r="S55" s="12">
        <f t="shared" si="70"/>
        <v>-3.9595317446497755E-3</v>
      </c>
      <c r="T55" s="12">
        <f t="shared" si="70"/>
        <v>-3.8936656390345325E-3</v>
      </c>
      <c r="U55" s="12">
        <f t="shared" si="70"/>
        <v>-3.788712424213084E-3</v>
      </c>
      <c r="X55" s="12">
        <f t="shared" ref="X55:AE55" si="71">X46/X$5</f>
        <v>-1.0089222918526135E-2</v>
      </c>
      <c r="Y55" s="12">
        <f t="shared" si="71"/>
        <v>-1.2176793306700016E-2</v>
      </c>
      <c r="Z55" s="12">
        <f t="shared" si="71"/>
        <v>-9.8584379141900373E-3</v>
      </c>
      <c r="AA55" s="12">
        <f t="shared" si="71"/>
        <v>-9.0462159698231643E-3</v>
      </c>
      <c r="AB55" s="12">
        <f t="shared" si="71"/>
        <v>-8.0672096739134707E-3</v>
      </c>
      <c r="AC55" s="12">
        <f t="shared" si="71"/>
        <v>-8.4509519643344265E-3</v>
      </c>
      <c r="AD55" s="12">
        <f t="shared" si="71"/>
        <v>-8.1085137652840179E-3</v>
      </c>
      <c r="AE55" s="12">
        <f t="shared" si="71"/>
        <v>-5.6798550943716452E-3</v>
      </c>
    </row>
    <row r="56" spans="2:31" s="10" customFormat="1">
      <c r="C56" s="10" t="s">
        <v>61</v>
      </c>
      <c r="F56" s="12">
        <f t="shared" ref="F56:J56" si="72">F48/F$5</f>
        <v>-4.6574224527253724E-2</v>
      </c>
      <c r="G56" s="12">
        <f t="shared" si="72"/>
        <v>-4.7699407993610402E-2</v>
      </c>
      <c r="H56" s="12">
        <f t="shared" si="72"/>
        <v>-4.1834247266895233E-2</v>
      </c>
      <c r="I56" s="12">
        <f t="shared" si="72"/>
        <v>-4.3966562752296823E-2</v>
      </c>
      <c r="J56" s="12">
        <f t="shared" si="72"/>
        <v>-3.7661501490898856E-2</v>
      </c>
      <c r="K56" s="17">
        <v>-3.5000000000000003E-2</v>
      </c>
      <c r="L56" s="17">
        <f t="shared" ref="L56:U56" si="73">K56</f>
        <v>-3.5000000000000003E-2</v>
      </c>
      <c r="M56" s="17">
        <f t="shared" si="73"/>
        <v>-3.5000000000000003E-2</v>
      </c>
      <c r="N56" s="17">
        <f t="shared" si="73"/>
        <v>-3.5000000000000003E-2</v>
      </c>
      <c r="O56" s="17">
        <f t="shared" si="73"/>
        <v>-3.5000000000000003E-2</v>
      </c>
      <c r="P56" s="17">
        <f t="shared" si="73"/>
        <v>-3.5000000000000003E-2</v>
      </c>
      <c r="Q56" s="17">
        <f t="shared" si="73"/>
        <v>-3.5000000000000003E-2</v>
      </c>
      <c r="R56" s="17">
        <f t="shared" si="73"/>
        <v>-3.5000000000000003E-2</v>
      </c>
      <c r="S56" s="17">
        <f t="shared" si="73"/>
        <v>-3.5000000000000003E-2</v>
      </c>
      <c r="T56" s="17">
        <f t="shared" si="73"/>
        <v>-3.5000000000000003E-2</v>
      </c>
      <c r="U56" s="17">
        <f t="shared" si="73"/>
        <v>-3.5000000000000003E-2</v>
      </c>
      <c r="X56" s="12">
        <f t="shared" ref="X56:AE56" si="74">X48/X$5</f>
        <v>-3.3837426528022643E-2</v>
      </c>
      <c r="Y56" s="12">
        <f t="shared" si="74"/>
        <v>-4.8301297120184043E-2</v>
      </c>
      <c r="Z56" s="12">
        <f t="shared" si="74"/>
        <v>-4.3857771124406954E-2</v>
      </c>
      <c r="AA56" s="12">
        <f t="shared" si="74"/>
        <v>-4.4049544297506793E-2</v>
      </c>
      <c r="AB56" s="12">
        <f t="shared" si="74"/>
        <v>-3.9468555899094163E-2</v>
      </c>
      <c r="AC56" s="12">
        <f t="shared" si="74"/>
        <v>-3.6239484842575602E-2</v>
      </c>
      <c r="AD56" s="12">
        <f t="shared" si="74"/>
        <v>-5.2330772528956966E-2</v>
      </c>
      <c r="AE56" s="12">
        <f t="shared" si="74"/>
        <v>-3.9327026862172577E-2</v>
      </c>
    </row>
    <row r="59" spans="2:31" s="6" customFormat="1">
      <c r="B59" s="6" t="s">
        <v>62</v>
      </c>
      <c r="F59" s="6">
        <f t="shared" ref="F59:U59" si="75">F62+F213+F214+F215+F233</f>
        <v>758.77300000000002</v>
      </c>
      <c r="G59" s="6">
        <f t="shared" si="75"/>
        <v>1565.8559999999991</v>
      </c>
      <c r="H59" s="6">
        <f t="shared" si="75"/>
        <v>1876.206000000001</v>
      </c>
      <c r="I59" s="6">
        <f t="shared" si="75"/>
        <v>2832.5209999999993</v>
      </c>
      <c r="J59" s="6">
        <f t="shared" si="75"/>
        <v>4253.2610000000013</v>
      </c>
      <c r="K59" s="6">
        <f t="shared" si="75"/>
        <v>3404.1153672081941</v>
      </c>
      <c r="L59" s="6">
        <f t="shared" si="75"/>
        <v>9543.2716926787944</v>
      </c>
      <c r="M59" s="6">
        <f t="shared" si="75"/>
        <v>14738.522323164132</v>
      </c>
      <c r="N59" s="6">
        <f t="shared" si="75"/>
        <v>17924.180151271088</v>
      </c>
      <c r="O59" s="6">
        <f t="shared" si="75"/>
        <v>20266.201693232888</v>
      </c>
      <c r="P59" s="6">
        <f t="shared" si="75"/>
        <v>22625.185354242338</v>
      </c>
      <c r="Q59" s="6">
        <f t="shared" si="75"/>
        <v>25659.392292389679</v>
      </c>
      <c r="R59" s="6">
        <f t="shared" si="75"/>
        <v>28657.931041787713</v>
      </c>
      <c r="S59" s="6">
        <f t="shared" si="75"/>
        <v>30929.861027470393</v>
      </c>
      <c r="T59" s="6">
        <f t="shared" si="75"/>
        <v>33112.831019858335</v>
      </c>
      <c r="U59" s="6">
        <f t="shared" si="75"/>
        <v>35708.058783003202</v>
      </c>
    </row>
    <row r="60" spans="2:31" s="8" customFormat="1">
      <c r="B60" s="8" t="s">
        <v>63</v>
      </c>
      <c r="F60" s="8">
        <f t="shared" ref="F60:H60" si="76">F59/F$5</f>
        <v>0.13180735013676281</v>
      </c>
      <c r="G60" s="8">
        <f t="shared" si="76"/>
        <v>0.20055314724490703</v>
      </c>
      <c r="H60" s="8">
        <f t="shared" si="76"/>
        <v>0.17638206402642817</v>
      </c>
      <c r="I60" s="8">
        <f>I59/I$5</f>
        <v>0.16692228815906557</v>
      </c>
      <c r="J60" s="8">
        <f>J59/J$5</f>
        <v>0.1601632141116334</v>
      </c>
      <c r="K60" s="8">
        <f t="shared" ref="K60:U60" si="77">K59/K$5</f>
        <v>0.11896571716468571</v>
      </c>
      <c r="L60" s="8">
        <f t="shared" si="77"/>
        <v>0.14956243738836519</v>
      </c>
      <c r="M60" s="8">
        <f t="shared" si="77"/>
        <v>0.17472135796009103</v>
      </c>
      <c r="N60" s="8">
        <f t="shared" si="77"/>
        <v>0.18059930175360994</v>
      </c>
      <c r="O60" s="8">
        <f t="shared" si="77"/>
        <v>0.18012264300490058</v>
      </c>
      <c r="P60" s="8">
        <f t="shared" si="77"/>
        <v>0.17949455002408563</v>
      </c>
      <c r="Q60" s="8">
        <f t="shared" si="77"/>
        <v>0.18183400702431268</v>
      </c>
      <c r="R60" s="8">
        <f t="shared" si="77"/>
        <v>0.18482742898703811</v>
      </c>
      <c r="S60" s="8">
        <f t="shared" si="77"/>
        <v>0.18425771695419166</v>
      </c>
      <c r="T60" s="8">
        <f t="shared" si="77"/>
        <v>0.18300080075722178</v>
      </c>
      <c r="U60" s="8">
        <f t="shared" si="77"/>
        <v>0.18288016578586339</v>
      </c>
    </row>
    <row r="62" spans="2:31" s="6" customFormat="1">
      <c r="B62" s="6" t="s">
        <v>64</v>
      </c>
      <c r="F62" s="6">
        <f>F32+F35</f>
        <v>519.59400000000005</v>
      </c>
      <c r="G62" s="6">
        <f t="shared" ref="G62:U62" si="78">G32+G35</f>
        <v>1279.9379999999992</v>
      </c>
      <c r="H62" s="6">
        <f t="shared" si="78"/>
        <v>1516.3670000000011</v>
      </c>
      <c r="I62" s="6">
        <f t="shared" si="78"/>
        <v>2143.1999999999989</v>
      </c>
      <c r="J62" s="6">
        <f t="shared" si="78"/>
        <v>3060.9910000000018</v>
      </c>
      <c r="K62" s="6">
        <f t="shared" si="78"/>
        <v>989.94000000000233</v>
      </c>
      <c r="L62" s="6">
        <f t="shared" si="78"/>
        <v>5390.7000004920847</v>
      </c>
      <c r="M62" s="6">
        <f t="shared" si="78"/>
        <v>8867.3861318689014</v>
      </c>
      <c r="N62" s="6">
        <f t="shared" si="78"/>
        <v>10118.584758394543</v>
      </c>
      <c r="O62" s="6">
        <f t="shared" si="78"/>
        <v>10553.805654890552</v>
      </c>
      <c r="P62" s="6">
        <f t="shared" si="78"/>
        <v>10881.826063993831</v>
      </c>
      <c r="Q62" s="6">
        <f t="shared" si="78"/>
        <v>11736.855672309059</v>
      </c>
      <c r="R62" s="6">
        <f t="shared" si="78"/>
        <v>12386.922461164315</v>
      </c>
      <c r="S62" s="6">
        <f t="shared" si="78"/>
        <v>12368.403792859186</v>
      </c>
      <c r="T62" s="6">
        <f t="shared" si="78"/>
        <v>12194.300965880917</v>
      </c>
      <c r="U62" s="6">
        <f t="shared" si="78"/>
        <v>12326.087785996002</v>
      </c>
      <c r="X62" s="6">
        <f t="shared" ref="X62:AE62" si="79">X32+X35</f>
        <v>716.03499999999985</v>
      </c>
      <c r="Y62" s="6">
        <f t="shared" si="79"/>
        <v>800.33200000000033</v>
      </c>
      <c r="Z62" s="6">
        <f t="shared" si="79"/>
        <v>858.67499999999927</v>
      </c>
      <c r="AA62" s="6">
        <f t="shared" si="79"/>
        <v>1284.5249999999978</v>
      </c>
      <c r="AB62" s="6">
        <f t="shared" si="79"/>
        <v>1218.8110000000006</v>
      </c>
      <c r="AC62" s="6">
        <f t="shared" si="79"/>
        <v>1842.1800000000012</v>
      </c>
      <c r="AD62" s="6">
        <f t="shared" si="79"/>
        <v>-996.63300000000072</v>
      </c>
      <c r="AE62" s="6">
        <f t="shared" si="79"/>
        <v>1986.5730000000021</v>
      </c>
    </row>
    <row r="63" spans="2:31" s="8" customFormat="1">
      <c r="B63" s="8" t="s">
        <v>65</v>
      </c>
      <c r="F63" s="8">
        <f t="shared" ref="F63:I63" si="80">F62/F$5</f>
        <v>9.0259284775500895E-2</v>
      </c>
      <c r="G63" s="8">
        <f t="shared" si="80"/>
        <v>0.16393307825135375</v>
      </c>
      <c r="H63" s="8">
        <f t="shared" si="80"/>
        <v>0.14255361153389493</v>
      </c>
      <c r="I63" s="8">
        <f t="shared" si="80"/>
        <v>0.12630015734482083</v>
      </c>
      <c r="J63" s="8">
        <f>J62/J$5</f>
        <v>0.11526641720947362</v>
      </c>
      <c r="K63" s="8">
        <f t="shared" ref="K63:U63" si="81">K62/K$5</f>
        <v>3.4596043126057352E-2</v>
      </c>
      <c r="L63" s="8">
        <f t="shared" si="81"/>
        <v>8.4483210503330478E-2</v>
      </c>
      <c r="M63" s="8">
        <f t="shared" si="81"/>
        <v>0.10512056178668513</v>
      </c>
      <c r="N63" s="8">
        <f t="shared" si="81"/>
        <v>0.10195218563294703</v>
      </c>
      <c r="O63" s="8">
        <f t="shared" si="81"/>
        <v>9.3800476137258129E-2</v>
      </c>
      <c r="P63" s="8">
        <f t="shared" si="81"/>
        <v>8.6329832981045573E-2</v>
      </c>
      <c r="Q63" s="8">
        <f t="shared" si="81"/>
        <v>8.3172643858559339E-2</v>
      </c>
      <c r="R63" s="8">
        <f t="shared" si="81"/>
        <v>7.9888636350629483E-2</v>
      </c>
      <c r="S63" s="8">
        <f t="shared" si="81"/>
        <v>7.3681994342481044E-2</v>
      </c>
      <c r="T63" s="8">
        <f t="shared" si="81"/>
        <v>6.7392813380784677E-2</v>
      </c>
      <c r="U63" s="8">
        <f t="shared" si="81"/>
        <v>6.3128522093366696E-2</v>
      </c>
      <c r="X63" s="8">
        <f>X62/X$5</f>
        <v>0.15055197941996165</v>
      </c>
      <c r="Y63" s="8">
        <f t="shared" ref="Y63:AE63" si="82">Y62/Y$5</f>
        <v>0.13608531049862232</v>
      </c>
      <c r="Z63" s="8">
        <f t="shared" si="82"/>
        <v>0.11694356964602931</v>
      </c>
      <c r="AA63" s="8">
        <f t="shared" si="82"/>
        <v>0.13343695748466497</v>
      </c>
      <c r="AB63" s="8">
        <f t="shared" si="82"/>
        <v>0.10421975016558893</v>
      </c>
      <c r="AC63" s="8">
        <f t="shared" si="82"/>
        <v>0.12395931786240737</v>
      </c>
      <c r="AD63" s="8">
        <f t="shared" si="82"/>
        <v>-0.10210770746280592</v>
      </c>
      <c r="AE63" s="8">
        <f t="shared" si="82"/>
        <v>0.10536808522487699</v>
      </c>
    </row>
    <row r="65" spans="2:31">
      <c r="B65" s="1" t="s">
        <v>66</v>
      </c>
      <c r="F65" s="2">
        <v>35.662999999999997</v>
      </c>
      <c r="G65" s="2">
        <v>62.094000000000001</v>
      </c>
      <c r="H65" s="2">
        <v>90.753</v>
      </c>
      <c r="I65" s="2">
        <v>104.318</v>
      </c>
      <c r="J65" s="2">
        <v>262.70100000000002</v>
      </c>
      <c r="K65" s="2">
        <v>360.86700000000002</v>
      </c>
      <c r="L65" s="1">
        <f t="shared" ref="L65:U65" si="83">L69*L5</f>
        <v>127.61588884644893</v>
      </c>
      <c r="M65" s="1">
        <f t="shared" si="83"/>
        <v>168.70888018774019</v>
      </c>
      <c r="N65" s="1">
        <f t="shared" si="83"/>
        <v>198.49667166183056</v>
      </c>
      <c r="O65" s="1">
        <f t="shared" si="83"/>
        <v>225.02669686766151</v>
      </c>
      <c r="P65" s="1">
        <f t="shared" si="83"/>
        <v>252.09885593970802</v>
      </c>
      <c r="Q65" s="1">
        <f t="shared" si="83"/>
        <v>282.22875041145426</v>
      </c>
      <c r="R65" s="1">
        <f t="shared" si="83"/>
        <v>310.10474147533034</v>
      </c>
      <c r="S65" s="1">
        <f t="shared" si="83"/>
        <v>335.72391472927967</v>
      </c>
      <c r="T65" s="1">
        <f t="shared" si="83"/>
        <v>361.8872800866867</v>
      </c>
      <c r="U65" s="1">
        <f t="shared" si="83"/>
        <v>390.50772542293299</v>
      </c>
      <c r="X65" s="2">
        <v>40.036999999999999</v>
      </c>
      <c r="Y65" s="1">
        <f>H65-X65</f>
        <v>50.716000000000001</v>
      </c>
      <c r="Z65" s="2">
        <v>26.986000000000001</v>
      </c>
      <c r="AA65" s="1">
        <f>I65-Z65</f>
        <v>77.331999999999994</v>
      </c>
      <c r="AB65" s="2">
        <v>118.828</v>
      </c>
      <c r="AC65" s="1">
        <f>J65-AB65</f>
        <v>143.87300000000002</v>
      </c>
      <c r="AD65" s="2">
        <v>180.465</v>
      </c>
      <c r="AE65" s="1">
        <f>K65-AD65</f>
        <v>180.40200000000002</v>
      </c>
    </row>
    <row r="66" spans="2:31" s="19" customFormat="1" outlineLevel="1">
      <c r="B66" s="18"/>
      <c r="C66" s="19" t="s">
        <v>67</v>
      </c>
      <c r="F66" s="19">
        <v>2.6549999999999998</v>
      </c>
      <c r="G66" s="19">
        <v>3.71</v>
      </c>
      <c r="H66" s="19">
        <v>4.6630000000000003</v>
      </c>
      <c r="I66" s="19">
        <v>38.252000000000002</v>
      </c>
      <c r="J66" s="19">
        <v>143.476</v>
      </c>
      <c r="K66" s="19">
        <f>K67*AVERAGE(J113+J115+J116+J162+J163+J164+J165,K113+K115+K116+K162+K163+K164+K165)</f>
        <v>0</v>
      </c>
      <c r="L66" s="3">
        <v>111</v>
      </c>
      <c r="M66" s="3">
        <v>111</v>
      </c>
      <c r="N66" s="3">
        <v>111</v>
      </c>
      <c r="O66" s="3">
        <v>111</v>
      </c>
      <c r="P66" s="3">
        <v>111</v>
      </c>
      <c r="Q66" s="3">
        <v>111</v>
      </c>
      <c r="R66" s="3">
        <v>111</v>
      </c>
      <c r="S66" s="3">
        <v>111</v>
      </c>
      <c r="T66" s="3">
        <v>111</v>
      </c>
      <c r="U66" s="3">
        <v>111</v>
      </c>
    </row>
    <row r="67" spans="2:31" s="8" customFormat="1" outlineLevel="1">
      <c r="D67" s="8" t="s">
        <v>68</v>
      </c>
      <c r="G67" s="8">
        <f t="shared" ref="G67:I67" si="84">G66/AVERAGE(G113+G115+G116+G162+G163+G164+G165,F113+F115+F116+F162+F163+F164+F165)</f>
        <v>1.0053165256694434E-2</v>
      </c>
      <c r="H67" s="8">
        <f t="shared" si="84"/>
        <v>9.4597514254037857E-3</v>
      </c>
      <c r="I67" s="8">
        <f t="shared" si="84"/>
        <v>1.150343889730342E-2</v>
      </c>
      <c r="J67" s="8">
        <f>J66/AVERAGE(J113+J115+J116+J162+J163+J164+J165,I113+I115+I116+I162+I163+I164+I165)</f>
        <v>2.723237227470577E-2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2:31" s="19" customFormat="1" outlineLevel="1">
      <c r="B68" s="18"/>
      <c r="C68" s="19" t="s">
        <v>69</v>
      </c>
      <c r="F68" s="19">
        <v>22.077999999999999</v>
      </c>
      <c r="G68" s="19">
        <v>49.426000000000002</v>
      </c>
      <c r="H68" s="19">
        <v>74.861000000000004</v>
      </c>
      <c r="I68" s="19">
        <v>45.661000000000001</v>
      </c>
      <c r="J68" s="19">
        <v>45.86</v>
      </c>
      <c r="K68" s="19">
        <f>K69*K5</f>
        <v>57.22851</v>
      </c>
      <c r="L68" s="19">
        <f>L69*L5</f>
        <v>127.61588884644893</v>
      </c>
      <c r="M68" s="19">
        <f t="shared" ref="M68:U68" si="85">M69*M5</f>
        <v>168.70888018774019</v>
      </c>
      <c r="N68" s="19">
        <f t="shared" si="85"/>
        <v>198.49667166183056</v>
      </c>
      <c r="O68" s="19">
        <f t="shared" si="85"/>
        <v>225.02669686766151</v>
      </c>
      <c r="P68" s="19">
        <f t="shared" si="85"/>
        <v>252.09885593970802</v>
      </c>
      <c r="Q68" s="19">
        <f t="shared" si="85"/>
        <v>282.22875041145426</v>
      </c>
      <c r="R68" s="19">
        <f t="shared" si="85"/>
        <v>310.10474147533034</v>
      </c>
      <c r="S68" s="19">
        <f t="shared" si="85"/>
        <v>335.72391472927967</v>
      </c>
      <c r="T68" s="19">
        <f t="shared" si="85"/>
        <v>361.8872800866867</v>
      </c>
      <c r="U68" s="19">
        <f t="shared" si="85"/>
        <v>390.50772542293299</v>
      </c>
    </row>
    <row r="69" spans="2:31" s="8" customFormat="1" outlineLevel="1">
      <c r="D69" s="8" t="s">
        <v>55</v>
      </c>
      <c r="F69" s="8">
        <f>F68/F5</f>
        <v>3.8351953434287321E-3</v>
      </c>
      <c r="G69" s="8">
        <f t="shared" ref="G69:J69" si="86">G68/G5</f>
        <v>6.3304287595582105E-3</v>
      </c>
      <c r="H69" s="8">
        <f t="shared" si="86"/>
        <v>7.0376801348478969E-3</v>
      </c>
      <c r="I69" s="8">
        <f t="shared" si="86"/>
        <v>2.6908321596313301E-3</v>
      </c>
      <c r="J69" s="8">
        <f t="shared" si="86"/>
        <v>1.7269302305124245E-3</v>
      </c>
      <c r="K69" s="9">
        <v>2E-3</v>
      </c>
      <c r="L69" s="9">
        <v>2E-3</v>
      </c>
      <c r="M69" s="9">
        <v>2E-3</v>
      </c>
      <c r="N69" s="9">
        <v>2E-3</v>
      </c>
      <c r="O69" s="9">
        <v>2E-3</v>
      </c>
      <c r="P69" s="9">
        <v>2E-3</v>
      </c>
      <c r="Q69" s="9">
        <v>2E-3</v>
      </c>
      <c r="R69" s="9">
        <v>2E-3</v>
      </c>
      <c r="S69" s="9">
        <v>2E-3</v>
      </c>
      <c r="T69" s="9">
        <v>2E-3</v>
      </c>
      <c r="U69" s="9">
        <v>2E-3</v>
      </c>
    </row>
    <row r="70" spans="2:31" s="19" customFormat="1" outlineLevel="1">
      <c r="B70" s="18"/>
      <c r="C70" s="19" t="s">
        <v>70</v>
      </c>
      <c r="F70" s="19">
        <f>F65-F66-F68</f>
        <v>10.929999999999996</v>
      </c>
      <c r="G70" s="19">
        <f>G65-G66-G68</f>
        <v>8.9579999999999984</v>
      </c>
      <c r="H70" s="19">
        <f>H65-H66-H68</f>
        <v>11.228999999999999</v>
      </c>
      <c r="I70" s="19">
        <f>I65-I66-I68</f>
        <v>20.405000000000001</v>
      </c>
      <c r="J70" s="19">
        <f>J65-J66-J68</f>
        <v>73.365000000000023</v>
      </c>
    </row>
    <row r="72" spans="2:31">
      <c r="B72" s="1" t="s">
        <v>71</v>
      </c>
      <c r="F72" s="2">
        <v>0</v>
      </c>
      <c r="G72" s="2">
        <v>0</v>
      </c>
      <c r="H72" s="2">
        <v>0.48199999999999998</v>
      </c>
      <c r="I72" s="2">
        <f>30.049-2.363</f>
        <v>27.686</v>
      </c>
      <c r="J72" s="2">
        <f>75.262-10.023</f>
        <v>65.239000000000004</v>
      </c>
      <c r="K72" s="2">
        <f>99.109-24.249</f>
        <v>74.86</v>
      </c>
      <c r="X72" s="2">
        <v>0</v>
      </c>
      <c r="Y72" s="1">
        <f>H72-X72</f>
        <v>0.48199999999999998</v>
      </c>
      <c r="Z72" s="2">
        <v>5.2050000000000001</v>
      </c>
      <c r="AA72" s="1">
        <f>I72-Z72</f>
        <v>22.481000000000002</v>
      </c>
      <c r="AB72" s="2">
        <f>21.828-3.539</f>
        <v>18.288999999999998</v>
      </c>
      <c r="AC72" s="1">
        <f>J72-AB72</f>
        <v>46.95</v>
      </c>
      <c r="AD72" s="2">
        <f>45.452-3.52</f>
        <v>41.931999999999995</v>
      </c>
      <c r="AE72" s="1">
        <f>K72-AD72</f>
        <v>32.928000000000004</v>
      </c>
    </row>
    <row r="74" spans="2:31">
      <c r="B74" s="1" t="s">
        <v>72</v>
      </c>
      <c r="F74" s="2">
        <v>8.0719999999999992</v>
      </c>
      <c r="G74" s="2">
        <v>12.012</v>
      </c>
      <c r="H74" s="2">
        <v>26.062000000000001</v>
      </c>
      <c r="I74" s="2">
        <v>17.856999999999999</v>
      </c>
      <c r="J74" s="2">
        <v>95.084000000000003</v>
      </c>
      <c r="K74" s="2">
        <v>-244.96600000000001</v>
      </c>
      <c r="X74" s="2">
        <v>8.1859999999999999</v>
      </c>
      <c r="Y74" s="1">
        <f>H74-X74</f>
        <v>17.876000000000001</v>
      </c>
      <c r="Z74" s="2">
        <v>18.826000000000001</v>
      </c>
      <c r="AA74" s="1">
        <f>I74-Z74</f>
        <v>-0.96900000000000119</v>
      </c>
      <c r="AB74" s="2">
        <v>-2.786</v>
      </c>
      <c r="AC74" s="1">
        <f>J74-AB74</f>
        <v>97.87</v>
      </c>
      <c r="AD74" s="2">
        <v>32.820999999999998</v>
      </c>
      <c r="AE74" s="1">
        <f>K74-AD74</f>
        <v>-277.78700000000003</v>
      </c>
    </row>
    <row r="76" spans="2:31">
      <c r="B76" s="1" t="s">
        <v>73</v>
      </c>
      <c r="F76" s="2">
        <v>-3.2210000000000001</v>
      </c>
      <c r="G76" s="2">
        <v>-8.1669999999999998</v>
      </c>
      <c r="H76" s="2">
        <v>-8.6140000000000008</v>
      </c>
      <c r="I76" s="2">
        <v>-31.231000000000002</v>
      </c>
      <c r="J76" s="2">
        <v>-236.791</v>
      </c>
      <c r="K76" s="2">
        <v>-445.55900000000003</v>
      </c>
      <c r="L76" s="1">
        <f>L77+L78+L80</f>
        <v>-129.69517261770812</v>
      </c>
      <c r="M76" s="1">
        <f t="shared" ref="M76:U76" si="87">M77+M78+M80</f>
        <v>-18.489112183694655</v>
      </c>
      <c r="N76" s="1">
        <f t="shared" si="87"/>
        <v>-9.8922552165378974</v>
      </c>
      <c r="O76" s="1">
        <f t="shared" si="87"/>
        <v>-2.2580768665766531</v>
      </c>
      <c r="P76" s="1">
        <f t="shared" si="87"/>
        <v>-2.2580768665766531</v>
      </c>
      <c r="Q76" s="1">
        <f t="shared" si="87"/>
        <v>-2.2580768665766531</v>
      </c>
      <c r="R76" s="1">
        <f t="shared" si="87"/>
        <v>-2.2580768665766531</v>
      </c>
      <c r="S76" s="1">
        <f t="shared" si="87"/>
        <v>-2.2580768665766531</v>
      </c>
      <c r="T76" s="1">
        <f t="shared" si="87"/>
        <v>-2.2580768665766531</v>
      </c>
      <c r="U76" s="1">
        <f t="shared" si="87"/>
        <v>-2.2580768665766531</v>
      </c>
      <c r="X76" s="2">
        <v>-6.282</v>
      </c>
      <c r="Y76" s="1">
        <f>H76-X76</f>
        <v>-2.3320000000000007</v>
      </c>
      <c r="Z76" s="2">
        <v>-8.7739999999999991</v>
      </c>
      <c r="AA76" s="1">
        <f>I76-Z76</f>
        <v>-22.457000000000001</v>
      </c>
      <c r="AB76" s="2">
        <v>-102.134</v>
      </c>
      <c r="AC76" s="1">
        <f>J76-AB76</f>
        <v>-134.65699999999998</v>
      </c>
      <c r="AD76" s="2">
        <v>-183.00299999999999</v>
      </c>
      <c r="AE76" s="1">
        <f>K76-AD76</f>
        <v>-262.55600000000004</v>
      </c>
    </row>
    <row r="77" spans="2:31" s="19" customFormat="1" outlineLevel="1">
      <c r="C77" s="19" t="s">
        <v>74</v>
      </c>
      <c r="F77" s="19">
        <v>0</v>
      </c>
      <c r="G77" s="19">
        <v>0</v>
      </c>
      <c r="H77" s="19">
        <v>0</v>
      </c>
      <c r="I77" s="19">
        <v>0</v>
      </c>
      <c r="J77" s="19">
        <v>-216.46799999999999</v>
      </c>
    </row>
    <row r="78" spans="2:31" s="19" customFormat="1" outlineLevel="1">
      <c r="C78" s="19" t="s">
        <v>75</v>
      </c>
      <c r="F78" s="19">
        <v>-3.2210000000000001</v>
      </c>
      <c r="G78" s="19">
        <v>-8.1669999999999998</v>
      </c>
      <c r="H78" s="19">
        <v>-8.6140000000000008</v>
      </c>
      <c r="I78" s="19">
        <v>-31.231000000000002</v>
      </c>
      <c r="J78" s="19">
        <f>-16.697-2.144</f>
        <v>-18.841000000000001</v>
      </c>
      <c r="K78" s="19">
        <f>K79*AVERAGE(J176+J183,K176+K183)</f>
        <v>-126.7277257176256</v>
      </c>
      <c r="L78" s="19">
        <f t="shared" ref="L78:U78" si="88">L79*AVERAGE(K176+K183,L176+L183)</f>
        <v>-129.69517261770812</v>
      </c>
      <c r="M78" s="19">
        <f t="shared" si="88"/>
        <v>-18.489112183694655</v>
      </c>
      <c r="N78" s="19">
        <f t="shared" si="88"/>
        <v>-9.8922552165378974</v>
      </c>
      <c r="O78" s="19">
        <f t="shared" si="88"/>
        <v>-2.2580768665766531</v>
      </c>
      <c r="P78" s="19">
        <f t="shared" si="88"/>
        <v>-2.2580768665766531</v>
      </c>
      <c r="Q78" s="19">
        <f t="shared" si="88"/>
        <v>-2.2580768665766531</v>
      </c>
      <c r="R78" s="19">
        <f t="shared" si="88"/>
        <v>-2.2580768665766531</v>
      </c>
      <c r="S78" s="19">
        <f t="shared" si="88"/>
        <v>-2.2580768665766531</v>
      </c>
      <c r="T78" s="19">
        <f t="shared" si="88"/>
        <v>-2.2580768665766531</v>
      </c>
      <c r="U78" s="19">
        <f t="shared" si="88"/>
        <v>-2.2580768665766531</v>
      </c>
    </row>
    <row r="79" spans="2:31" s="8" customFormat="1" outlineLevel="1">
      <c r="D79" s="8" t="s">
        <v>76</v>
      </c>
      <c r="G79" s="8">
        <f t="shared" ref="G79:I79" si="89">G78/AVERAGE(G176+G183,F176+F183)</f>
        <v>-1.6449922604594578E-2</v>
      </c>
      <c r="H79" s="8">
        <f t="shared" si="89"/>
        <v>-1.8410270768191739E-2</v>
      </c>
      <c r="I79" s="8">
        <f t="shared" si="89"/>
        <v>-8.1375867343083524E-2</v>
      </c>
      <c r="J79" s="8">
        <f>J78/AVERAGE(J176+J183,I176+I183)</f>
        <v>-5.8888430475333195E-2</v>
      </c>
      <c r="K79" s="9">
        <f>J79</f>
        <v>-5.8888430475333195E-2</v>
      </c>
      <c r="L79" s="9">
        <f t="shared" ref="L79:U79" si="90">K79</f>
        <v>-5.8888430475333195E-2</v>
      </c>
      <c r="M79" s="9">
        <f t="shared" si="90"/>
        <v>-5.8888430475333195E-2</v>
      </c>
      <c r="N79" s="9">
        <f t="shared" si="90"/>
        <v>-5.8888430475333195E-2</v>
      </c>
      <c r="O79" s="9">
        <f t="shared" si="90"/>
        <v>-5.8888430475333195E-2</v>
      </c>
      <c r="P79" s="9">
        <f t="shared" si="90"/>
        <v>-5.8888430475333195E-2</v>
      </c>
      <c r="Q79" s="9">
        <f t="shared" si="90"/>
        <v>-5.8888430475333195E-2</v>
      </c>
      <c r="R79" s="9">
        <f t="shared" si="90"/>
        <v>-5.8888430475333195E-2</v>
      </c>
      <c r="S79" s="9">
        <f t="shared" si="90"/>
        <v>-5.8888430475333195E-2</v>
      </c>
      <c r="T79" s="9">
        <f t="shared" si="90"/>
        <v>-5.8888430475333195E-2</v>
      </c>
      <c r="U79" s="9">
        <f t="shared" si="90"/>
        <v>-5.8888430475333195E-2</v>
      </c>
    </row>
    <row r="80" spans="2:31" s="19" customFormat="1" outlineLevel="1">
      <c r="C80" s="19" t="s">
        <v>77</v>
      </c>
      <c r="F80" s="19">
        <f t="shared" ref="F80:I80" si="91">F76-F77-F78</f>
        <v>0</v>
      </c>
      <c r="G80" s="19">
        <f t="shared" si="91"/>
        <v>0</v>
      </c>
      <c r="H80" s="19">
        <f t="shared" si="91"/>
        <v>0</v>
      </c>
      <c r="I80" s="19">
        <f t="shared" si="91"/>
        <v>0</v>
      </c>
      <c r="J80" s="19">
        <f>J76-J77-J78</f>
        <v>-1.4820000000000064</v>
      </c>
    </row>
    <row r="82" spans="2:31" s="6" customFormat="1">
      <c r="B82" s="6" t="s">
        <v>78</v>
      </c>
      <c r="F82" s="6">
        <f t="shared" ref="F82:K82" si="92">F62+F65+F72+F74+F76</f>
        <v>560.10800000000006</v>
      </c>
      <c r="G82" s="6">
        <f t="shared" si="92"/>
        <v>1345.8769999999993</v>
      </c>
      <c r="H82" s="6">
        <f t="shared" si="92"/>
        <v>1625.0500000000009</v>
      </c>
      <c r="I82" s="6">
        <f t="shared" si="92"/>
        <v>2261.829999999999</v>
      </c>
      <c r="J82" s="6">
        <f t="shared" si="92"/>
        <v>3247.2240000000015</v>
      </c>
      <c r="K82" s="6">
        <f t="shared" si="92"/>
        <v>735.14200000000233</v>
      </c>
      <c r="L82" s="6">
        <f t="shared" ref="L82:U82" si="93">L62+L65+L72+L74+L76</f>
        <v>5388.6207167208249</v>
      </c>
      <c r="M82" s="6">
        <f t="shared" si="93"/>
        <v>9017.6058998729459</v>
      </c>
      <c r="N82" s="6">
        <f t="shared" si="93"/>
        <v>10307.189174839836</v>
      </c>
      <c r="O82" s="6">
        <f t="shared" si="93"/>
        <v>10776.574274891636</v>
      </c>
      <c r="P82" s="6">
        <f t="shared" si="93"/>
        <v>11131.666843066962</v>
      </c>
      <c r="Q82" s="6">
        <f t="shared" si="93"/>
        <v>12016.826345853935</v>
      </c>
      <c r="R82" s="6">
        <f t="shared" si="93"/>
        <v>12694.769125773068</v>
      </c>
      <c r="S82" s="6">
        <f t="shared" si="93"/>
        <v>12701.869630721889</v>
      </c>
      <c r="T82" s="6">
        <f t="shared" si="93"/>
        <v>12553.930169101026</v>
      </c>
      <c r="U82" s="6">
        <f t="shared" si="93"/>
        <v>12714.337434552357</v>
      </c>
      <c r="X82" s="6">
        <f t="shared" ref="X82:AE82" si="94">X62+X65+X72+X74+X76</f>
        <v>757.97599999999989</v>
      </c>
      <c r="Y82" s="6">
        <f t="shared" si="94"/>
        <v>867.0740000000003</v>
      </c>
      <c r="Z82" s="6">
        <f t="shared" si="94"/>
        <v>900.91799999999932</v>
      </c>
      <c r="AA82" s="6">
        <f t="shared" si="94"/>
        <v>1360.9119999999975</v>
      </c>
      <c r="AB82" s="6">
        <f t="shared" si="94"/>
        <v>1251.0080000000005</v>
      </c>
      <c r="AC82" s="6">
        <f t="shared" si="94"/>
        <v>1996.2160000000015</v>
      </c>
      <c r="AD82" s="6">
        <f t="shared" si="94"/>
        <v>-924.41800000000057</v>
      </c>
      <c r="AE82" s="6">
        <f t="shared" si="94"/>
        <v>1659.560000000002</v>
      </c>
    </row>
    <row r="84" spans="2:31">
      <c r="B84" s="1" t="s">
        <v>79</v>
      </c>
      <c r="F84" s="2">
        <v>-149.42599999999999</v>
      </c>
      <c r="G84" s="2">
        <v>-367.68599999999998</v>
      </c>
      <c r="H84" s="2">
        <v>-430.70800000000003</v>
      </c>
      <c r="I84" s="2">
        <v>-612.98400000000004</v>
      </c>
      <c r="J84" s="2">
        <v>-900.26199999999994</v>
      </c>
      <c r="K84" s="2">
        <v>-425.596</v>
      </c>
      <c r="L84" s="1">
        <f>-L82*L85</f>
        <v>-1347.1551791802062</v>
      </c>
      <c r="M84" s="1">
        <f t="shared" ref="M84:P84" si="95">-M82*M85</f>
        <v>-2254.4014749682365</v>
      </c>
      <c r="N84" s="1">
        <f t="shared" si="95"/>
        <v>-2576.7972937099589</v>
      </c>
      <c r="O84" s="1">
        <f t="shared" si="95"/>
        <v>-2694.1435687229091</v>
      </c>
      <c r="P84" s="1">
        <f t="shared" si="95"/>
        <v>-2782.9167107667404</v>
      </c>
      <c r="Q84" s="1">
        <f>-Q82*Q85</f>
        <v>-3004.2065864634837</v>
      </c>
      <c r="R84" s="1">
        <f t="shared" ref="R84:U84" si="96">-R82*R85</f>
        <v>-3173.6922814432669</v>
      </c>
      <c r="S84" s="1">
        <f t="shared" si="96"/>
        <v>-3175.4674076804722</v>
      </c>
      <c r="T84" s="1">
        <f t="shared" si="96"/>
        <v>-3138.4825422752565</v>
      </c>
      <c r="U84" s="1">
        <f t="shared" si="96"/>
        <v>-3178.5843586380893</v>
      </c>
      <c r="X84" s="2">
        <v>-204.828</v>
      </c>
      <c r="Y84" s="1">
        <f>H84-X84</f>
        <v>-225.88000000000002</v>
      </c>
      <c r="Z84" s="2">
        <v>-253.50700000000001</v>
      </c>
      <c r="AA84" s="1">
        <f>I84-Z84</f>
        <v>-359.47700000000003</v>
      </c>
      <c r="AB84" s="2">
        <v>-338.84300000000002</v>
      </c>
      <c r="AC84" s="1">
        <f>J84-AB84</f>
        <v>-561.41899999999987</v>
      </c>
      <c r="AD84" s="2">
        <v>-40.088999999999999</v>
      </c>
      <c r="AE84" s="1">
        <f>K84-AD84</f>
        <v>-385.50700000000001</v>
      </c>
    </row>
    <row r="85" spans="2:31" s="8" customFormat="1">
      <c r="C85" s="8" t="s">
        <v>80</v>
      </c>
      <c r="F85" s="8">
        <f>-F84/F82</f>
        <v>0.26678069229505735</v>
      </c>
      <c r="G85" s="8">
        <f t="shared" ref="G85:K85" si="97">-G84/G82</f>
        <v>0.2731943557992299</v>
      </c>
      <c r="H85" s="8">
        <f t="shared" si="97"/>
        <v>0.26504292175625355</v>
      </c>
      <c r="I85" s="8">
        <f t="shared" si="97"/>
        <v>0.27101241030493023</v>
      </c>
      <c r="J85" s="8">
        <f t="shared" si="97"/>
        <v>0.27724049834566372</v>
      </c>
      <c r="K85" s="8">
        <f t="shared" si="97"/>
        <v>0.57893032910648368</v>
      </c>
      <c r="L85" s="9">
        <v>0.25</v>
      </c>
      <c r="M85" s="9">
        <v>0.25</v>
      </c>
      <c r="N85" s="9">
        <v>0.25</v>
      </c>
      <c r="O85" s="9">
        <v>0.25</v>
      </c>
      <c r="P85" s="9">
        <v>0.25</v>
      </c>
      <c r="Q85" s="9">
        <v>0.25</v>
      </c>
      <c r="R85" s="9">
        <v>0.25</v>
      </c>
      <c r="S85" s="9">
        <v>0.25</v>
      </c>
      <c r="T85" s="9">
        <v>0.25</v>
      </c>
      <c r="U85" s="9">
        <v>0.25</v>
      </c>
      <c r="X85" s="8">
        <f t="shared" ref="X85" si="98">-X84/X82</f>
        <v>0.27023019198497056</v>
      </c>
      <c r="Y85" s="8">
        <f>-Y84/Y82</f>
        <v>0.2605083303155209</v>
      </c>
      <c r="Z85" s="8">
        <f t="shared" ref="Z85:AE85" si="99">-Z84/Z82</f>
        <v>0.28138742926659271</v>
      </c>
      <c r="AA85" s="8">
        <f t="shared" si="99"/>
        <v>0.2641441915421428</v>
      </c>
      <c r="AB85" s="8">
        <f t="shared" si="99"/>
        <v>0.27085598173632774</v>
      </c>
      <c r="AC85" s="8">
        <f t="shared" si="99"/>
        <v>0.28124160912446322</v>
      </c>
      <c r="AD85" s="8">
        <f t="shared" si="99"/>
        <v>-4.336674534680196E-2</v>
      </c>
      <c r="AE85" s="8">
        <f t="shared" si="99"/>
        <v>0.23229470462050156</v>
      </c>
    </row>
    <row r="87" spans="2:31" s="6" customFormat="1">
      <c r="B87" s="6" t="s">
        <v>81</v>
      </c>
      <c r="F87" s="6">
        <f>F82+F84</f>
        <v>410.68200000000007</v>
      </c>
      <c r="G87" s="6">
        <f t="shared" ref="G87:U87" si="100">G82+G84</f>
        <v>978.19099999999935</v>
      </c>
      <c r="H87" s="6">
        <f t="shared" si="100"/>
        <v>1194.3420000000008</v>
      </c>
      <c r="I87" s="6">
        <f t="shared" si="100"/>
        <v>1648.8459999999991</v>
      </c>
      <c r="J87" s="6">
        <f t="shared" si="100"/>
        <v>2346.9620000000014</v>
      </c>
      <c r="K87" s="6">
        <f t="shared" si="100"/>
        <v>309.54600000000232</v>
      </c>
      <c r="L87" s="6">
        <f t="shared" si="100"/>
        <v>4041.4655375406187</v>
      </c>
      <c r="M87" s="6">
        <f t="shared" si="100"/>
        <v>6763.2044249047094</v>
      </c>
      <c r="N87" s="6">
        <f t="shared" si="100"/>
        <v>7730.3918811298772</v>
      </c>
      <c r="O87" s="6">
        <f t="shared" si="100"/>
        <v>8082.4307061687268</v>
      </c>
      <c r="P87" s="6">
        <f t="shared" si="100"/>
        <v>8348.7501323002216</v>
      </c>
      <c r="Q87" s="6">
        <f t="shared" si="100"/>
        <v>9012.6197593904508</v>
      </c>
      <c r="R87" s="6">
        <f t="shared" si="100"/>
        <v>9521.0768443298002</v>
      </c>
      <c r="S87" s="6">
        <f t="shared" si="100"/>
        <v>9526.4022230414157</v>
      </c>
      <c r="T87" s="6">
        <f t="shared" si="100"/>
        <v>9415.4476268257695</v>
      </c>
      <c r="U87" s="6">
        <f t="shared" si="100"/>
        <v>9535.7530759142683</v>
      </c>
      <c r="X87" s="6">
        <f t="shared" ref="X87:AE87" si="101">X82+X84</f>
        <v>553.14799999999991</v>
      </c>
      <c r="Y87" s="6">
        <f>Y82+Y84</f>
        <v>641.1940000000003</v>
      </c>
      <c r="Z87" s="6">
        <f t="shared" si="101"/>
        <v>647.41099999999938</v>
      </c>
      <c r="AA87" s="6">
        <f>AA82+AA84</f>
        <v>1001.4349999999974</v>
      </c>
      <c r="AB87" s="6">
        <f t="shared" si="101"/>
        <v>912.16500000000042</v>
      </c>
      <c r="AC87" s="6">
        <f t="shared" si="101"/>
        <v>1434.7970000000016</v>
      </c>
      <c r="AD87" s="6">
        <f t="shared" si="101"/>
        <v>-964.50700000000052</v>
      </c>
      <c r="AE87" s="6">
        <f t="shared" si="101"/>
        <v>1274.0530000000019</v>
      </c>
    </row>
    <row r="88" spans="2:31" s="8" customFormat="1">
      <c r="B88" s="8" t="s">
        <v>82</v>
      </c>
      <c r="F88" s="8">
        <f t="shared" ref="F88:I88" si="102">F87/F$5</f>
        <v>7.1340053176465204E-2</v>
      </c>
      <c r="G88" s="8">
        <f t="shared" si="102"/>
        <v>0.12528564801402098</v>
      </c>
      <c r="H88" s="8">
        <f t="shared" si="102"/>
        <v>0.11228005193110581</v>
      </c>
      <c r="I88" s="8">
        <f t="shared" si="102"/>
        <v>9.7167557501576352E-2</v>
      </c>
      <c r="J88" s="8">
        <f>J87/J$5</f>
        <v>8.8378535273962125E-2</v>
      </c>
      <c r="K88" s="8">
        <f>K87/K$5</f>
        <v>1.0817894787056392E-2</v>
      </c>
      <c r="L88" s="8">
        <f t="shared" ref="L88:U88" si="103">L87/L$5</f>
        <v>6.3337967929736796E-2</v>
      </c>
      <c r="M88" s="8">
        <f t="shared" si="103"/>
        <v>8.0176033619316037E-2</v>
      </c>
      <c r="N88" s="8">
        <f t="shared" si="103"/>
        <v>7.7889385412968359E-2</v>
      </c>
      <c r="O88" s="8">
        <f t="shared" si="103"/>
        <v>7.1835305043134637E-2</v>
      </c>
      <c r="P88" s="8">
        <f t="shared" si="103"/>
        <v>6.6233939072670042E-2</v>
      </c>
      <c r="Q88" s="8">
        <f t="shared" si="103"/>
        <v>6.38674815818812E-2</v>
      </c>
      <c r="R88" s="8">
        <f t="shared" si="103"/>
        <v>6.1405554775028993E-2</v>
      </c>
      <c r="S88" s="8">
        <f t="shared" si="103"/>
        <v>5.6751406766618315E-2</v>
      </c>
      <c r="T88" s="8">
        <f t="shared" si="103"/>
        <v>5.2035250449092255E-2</v>
      </c>
      <c r="U88" s="8">
        <f t="shared" si="103"/>
        <v>4.8837717950838112E-2</v>
      </c>
      <c r="X88" s="8">
        <f>X87/X$5</f>
        <v>0.11630370905359787</v>
      </c>
      <c r="Y88" s="8">
        <f t="shared" ref="Y88:AE88" si="104">Y87/Y$5</f>
        <v>0.10902610988921303</v>
      </c>
      <c r="Z88" s="8">
        <f t="shared" si="104"/>
        <v>8.8171372600932219E-2</v>
      </c>
      <c r="AA88" s="8">
        <f t="shared" si="104"/>
        <v>0.1040294579853684</v>
      </c>
      <c r="AB88" s="8">
        <f t="shared" si="104"/>
        <v>7.7998646557829246E-2</v>
      </c>
      <c r="AC88" s="8">
        <f t="shared" si="104"/>
        <v>9.6546731259175858E-2</v>
      </c>
      <c r="AD88" s="8">
        <f t="shared" si="104"/>
        <v>-9.8816313128130953E-2</v>
      </c>
      <c r="AE88" s="8">
        <f t="shared" si="104"/>
        <v>6.7575933572544405E-2</v>
      </c>
    </row>
    <row r="89" spans="2:31">
      <c r="C89" s="1" t="s">
        <v>83</v>
      </c>
      <c r="F89" s="1">
        <f>F87-F90</f>
        <v>272.6930000000001</v>
      </c>
      <c r="G89" s="1">
        <f>G87-G90</f>
        <v>735.16899999999941</v>
      </c>
      <c r="H89" s="1">
        <f>H87-H90</f>
        <v>1027.8450000000007</v>
      </c>
      <c r="I89" s="1">
        <f t="shared" ref="I89:K89" si="105">I87-I90</f>
        <v>1646.155999999999</v>
      </c>
      <c r="J89" s="1">
        <f t="shared" si="105"/>
        <v>2344.7110000000011</v>
      </c>
      <c r="K89" s="1">
        <f t="shared" si="105"/>
        <v>309.27100000000235</v>
      </c>
      <c r="X89" s="1">
        <f t="shared" ref="X89" si="106">X87-X90</f>
        <v>424.80299999999988</v>
      </c>
      <c r="Y89" s="1">
        <f>Y87-Y90</f>
        <v>603.04200000000026</v>
      </c>
      <c r="Z89" s="1">
        <f t="shared" ref="Z89:AE89" si="107">Z87-Z90</f>
        <v>646.48799999999937</v>
      </c>
      <c r="AA89" s="1">
        <f t="shared" si="107"/>
        <v>999.66799999999739</v>
      </c>
      <c r="AB89" s="1">
        <f t="shared" si="107"/>
        <v>911.03500000000042</v>
      </c>
      <c r="AC89" s="1">
        <f t="shared" si="107"/>
        <v>1433.6760000000015</v>
      </c>
      <c r="AD89" s="1">
        <f t="shared" si="107"/>
        <v>-964.60200000000054</v>
      </c>
      <c r="AE89" s="1">
        <f t="shared" si="107"/>
        <v>1273.8730000000019</v>
      </c>
    </row>
    <row r="90" spans="2:31">
      <c r="C90" s="1" t="s">
        <v>84</v>
      </c>
      <c r="F90" s="2">
        <v>137.989</v>
      </c>
      <c r="G90" s="2">
        <v>243.02199999999999</v>
      </c>
      <c r="H90" s="2">
        <v>166.49700000000001</v>
      </c>
      <c r="I90" s="2">
        <v>2.69</v>
      </c>
      <c r="J90" s="2">
        <v>2.2509999999999999</v>
      </c>
      <c r="K90" s="2">
        <v>0.27500000000000002</v>
      </c>
      <c r="V90" s="2"/>
      <c r="W90" s="2"/>
      <c r="X90" s="2">
        <v>128.345</v>
      </c>
      <c r="Y90" s="1">
        <f>H90-X90</f>
        <v>38.152000000000015</v>
      </c>
      <c r="Z90" s="2">
        <v>0.92300000000000004</v>
      </c>
      <c r="AA90" s="1">
        <f>I90-Z90</f>
        <v>1.7669999999999999</v>
      </c>
      <c r="AB90" s="2">
        <v>1.1299999999999999</v>
      </c>
      <c r="AC90" s="1">
        <f>J90-AB90</f>
        <v>1.121</v>
      </c>
      <c r="AD90" s="2">
        <v>9.5000000000000001E-2</v>
      </c>
      <c r="AE90" s="1">
        <f>K90-AD90</f>
        <v>0.18000000000000002</v>
      </c>
    </row>
    <row r="91" spans="2:31" s="8" customFormat="1">
      <c r="D91" s="8" t="s">
        <v>85</v>
      </c>
      <c r="F91" s="8">
        <f>F90/F87</f>
        <v>0.3359996298839491</v>
      </c>
      <c r="G91" s="8">
        <f>G90/G87</f>
        <v>0.24844023304242235</v>
      </c>
      <c r="H91" s="8">
        <f>H90/H87</f>
        <v>0.13940479360183256</v>
      </c>
      <c r="I91" s="8">
        <f t="shared" ref="I91:K91" si="108">I90/I87</f>
        <v>1.63144405238573E-3</v>
      </c>
      <c r="J91" s="8">
        <f t="shared" si="108"/>
        <v>9.5911224808923137E-4</v>
      </c>
      <c r="K91" s="8">
        <f t="shared" si="108"/>
        <v>8.8839784716971944E-4</v>
      </c>
      <c r="X91" s="8">
        <f t="shared" ref="X91" si="109">X90/X87</f>
        <v>0.2320265100841005</v>
      </c>
      <c r="Y91" s="8">
        <f>Y90/Y87</f>
        <v>5.9501492528002443E-2</v>
      </c>
      <c r="Z91" s="8">
        <f t="shared" ref="Z91:AE91" si="110">Z90/Z87</f>
        <v>1.425678587481524E-3</v>
      </c>
      <c r="AA91" s="8">
        <f t="shared" si="110"/>
        <v>1.7644679884365978E-3</v>
      </c>
      <c r="AB91" s="8">
        <f t="shared" si="110"/>
        <v>1.2388109607362695E-3</v>
      </c>
      <c r="AC91" s="8">
        <f t="shared" si="110"/>
        <v>7.812951936754807E-4</v>
      </c>
      <c r="AD91" s="8">
        <f t="shared" si="110"/>
        <v>-9.8495915529902796E-5</v>
      </c>
      <c r="AE91" s="8">
        <f t="shared" si="110"/>
        <v>1.4128140666047625E-4</v>
      </c>
    </row>
    <row r="93" spans="2:31">
      <c r="B93" s="1" t="s">
        <v>86</v>
      </c>
    </row>
    <row r="94" spans="2:31">
      <c r="C94" s="1" t="s">
        <v>87</v>
      </c>
    </row>
    <row r="95" spans="2:31">
      <c r="C95" s="1" t="s">
        <v>88</v>
      </c>
    </row>
    <row r="97" spans="2:31">
      <c r="B97" s="1" t="s">
        <v>89</v>
      </c>
    </row>
    <row r="98" spans="2:31">
      <c r="C98" s="1" t="s">
        <v>87</v>
      </c>
    </row>
    <row r="99" spans="2:31">
      <c r="C99" s="1" t="s">
        <v>88</v>
      </c>
    </row>
    <row r="102" spans="2:31" s="4" customFormat="1">
      <c r="B102" s="4" t="s">
        <v>90</v>
      </c>
      <c r="C102" s="4" t="s">
        <v>3</v>
      </c>
      <c r="F102" s="5" t="s">
        <v>4</v>
      </c>
      <c r="G102" s="5" t="s">
        <v>5</v>
      </c>
      <c r="H102" s="5" t="s">
        <v>6</v>
      </c>
      <c r="I102" s="5" t="s">
        <v>7</v>
      </c>
      <c r="J102" s="5" t="s">
        <v>8</v>
      </c>
      <c r="K102" s="5" t="s">
        <v>9</v>
      </c>
      <c r="L102" s="5" t="s">
        <v>10</v>
      </c>
      <c r="M102" s="5" t="s">
        <v>11</v>
      </c>
      <c r="N102" s="5" t="s">
        <v>12</v>
      </c>
      <c r="O102" s="5" t="s">
        <v>13</v>
      </c>
      <c r="P102" s="5" t="s">
        <v>14</v>
      </c>
      <c r="Q102" s="5" t="s">
        <v>15</v>
      </c>
      <c r="R102" s="5" t="s">
        <v>16</v>
      </c>
      <c r="S102" s="5" t="s">
        <v>17</v>
      </c>
      <c r="T102" s="5" t="s">
        <v>18</v>
      </c>
      <c r="U102" s="5" t="s">
        <v>19</v>
      </c>
      <c r="X102" s="5" t="s">
        <v>20</v>
      </c>
      <c r="Y102" s="5" t="s">
        <v>21</v>
      </c>
      <c r="Z102" s="5" t="s">
        <v>22</v>
      </c>
      <c r="AA102" s="5" t="s">
        <v>23</v>
      </c>
      <c r="AB102" s="5" t="s">
        <v>24</v>
      </c>
      <c r="AC102" s="5" t="s">
        <v>25</v>
      </c>
      <c r="AD102" s="5" t="s">
        <v>26</v>
      </c>
      <c r="AE102" s="5" t="s">
        <v>27</v>
      </c>
    </row>
    <row r="103" spans="2:31" s="6" customFormat="1">
      <c r="B103" s="6" t="s">
        <v>91</v>
      </c>
      <c r="F103" s="6">
        <f t="shared" ref="F103:U103" si="111">F105+F106+F107+F108+F109+F110+F111+F112+F113+F114+F115+F116+F118</f>
        <v>1222.556</v>
      </c>
      <c r="G103" s="6">
        <f t="shared" si="111"/>
        <v>1492.8479999999997</v>
      </c>
      <c r="H103" s="6">
        <f t="shared" si="111"/>
        <v>2274.1309999999999</v>
      </c>
      <c r="I103" s="6">
        <f t="shared" si="111"/>
        <v>6208.6569999999992</v>
      </c>
      <c r="J103" s="6">
        <f>J105+J106+J107+J108+J109+J110+J111+J112+J113+J114+J115+J116+J118</f>
        <v>13413.641</v>
      </c>
      <c r="K103" s="6">
        <f>K105+K106+K107+K108+K109+K110+K111+K112+K113+K114+K115+K116+K118</f>
        <v>20933.888000000003</v>
      </c>
      <c r="L103" s="6">
        <f t="shared" si="111"/>
        <v>27845.373632997562</v>
      </c>
      <c r="M103" s="6">
        <f t="shared" si="111"/>
        <v>34976.184220851697</v>
      </c>
      <c r="N103" s="6">
        <f t="shared" si="111"/>
        <v>41365.6910787897</v>
      </c>
      <c r="O103" s="6">
        <f t="shared" si="111"/>
        <v>48137.510138821141</v>
      </c>
      <c r="P103" s="6">
        <f t="shared" si="111"/>
        <v>55373.027220434873</v>
      </c>
      <c r="Q103" s="6">
        <f t="shared" si="111"/>
        <v>63143.442675540835</v>
      </c>
      <c r="R103" s="6">
        <f t="shared" si="111"/>
        <v>70186.635059792068</v>
      </c>
      <c r="S103" s="6">
        <f t="shared" si="111"/>
        <v>77519.363243571512</v>
      </c>
      <c r="T103" s="6">
        <f t="shared" si="111"/>
        <v>85258.299789716286</v>
      </c>
      <c r="U103" s="6">
        <f t="shared" si="111"/>
        <v>93495.699167741928</v>
      </c>
      <c r="X103" s="6">
        <f t="shared" ref="X103:AD103" si="112">X105+X106+X107+X108+X109+X110+X111+X112+X113+X114+X115+X116+X118</f>
        <v>0</v>
      </c>
      <c r="Y103" s="6">
        <f t="shared" si="112"/>
        <v>2274.1309999999999</v>
      </c>
      <c r="Z103" s="6">
        <f t="shared" si="112"/>
        <v>3046.0710000000004</v>
      </c>
      <c r="AA103" s="6">
        <f t="shared" si="112"/>
        <v>6208.6569999999992</v>
      </c>
      <c r="AB103" s="6">
        <f t="shared" si="112"/>
        <v>10036.045</v>
      </c>
      <c r="AC103" s="6">
        <f t="shared" si="112"/>
        <v>13413.641</v>
      </c>
      <c r="AD103" s="6">
        <f t="shared" si="112"/>
        <v>15589.587</v>
      </c>
      <c r="AE103" s="6">
        <f>AE105+AE106+AE107+AE108+AE109+AE110+AE111+AE112+AE113+AE114+AE115+AE116+AE118</f>
        <v>20933.888000000003</v>
      </c>
    </row>
    <row r="105" spans="2:31">
      <c r="C105" s="1" t="s">
        <v>92</v>
      </c>
      <c r="F105" s="2">
        <v>796.62800000000004</v>
      </c>
      <c r="G105" s="2">
        <v>943.04100000000005</v>
      </c>
      <c r="H105" s="2">
        <v>2085.4279999999999</v>
      </c>
      <c r="I105" s="2">
        <v>3999.8029999999999</v>
      </c>
      <c r="J105" s="2">
        <v>7689.58</v>
      </c>
      <c r="K105" s="2">
        <v>12063.795</v>
      </c>
      <c r="L105" s="1">
        <f t="shared" ref="L105:U105" si="113">L129</f>
        <v>18889.587483856129</v>
      </c>
      <c r="M105" s="1">
        <f t="shared" si="113"/>
        <v>25161.248863667868</v>
      </c>
      <c r="N105" s="1">
        <f t="shared" si="113"/>
        <v>31344.382872813658</v>
      </c>
      <c r="O105" s="1">
        <f t="shared" si="113"/>
        <v>37930.982652688035</v>
      </c>
      <c r="P105" s="1">
        <f t="shared" si="113"/>
        <v>44998.780591366689</v>
      </c>
      <c r="Q105" s="1">
        <f t="shared" si="113"/>
        <v>52615.982249390443</v>
      </c>
      <c r="R105" s="1">
        <f t="shared" si="113"/>
        <v>60045.141894566084</v>
      </c>
      <c r="S105" s="1">
        <f t="shared" si="113"/>
        <v>67690.50824685549</v>
      </c>
      <c r="T105" s="1">
        <f t="shared" si="113"/>
        <v>75680.957573886408</v>
      </c>
      <c r="U105" s="1">
        <f t="shared" si="113"/>
        <v>84118.921028379918</v>
      </c>
      <c r="X105" s="2"/>
      <c r="Y105" s="2">
        <v>2085.4279999999999</v>
      </c>
      <c r="Z105" s="2">
        <v>2760.5410000000002</v>
      </c>
      <c r="AA105" s="2">
        <v>3999.8029999999999</v>
      </c>
      <c r="AB105" s="2">
        <v>5037.2120000000004</v>
      </c>
      <c r="AC105" s="2">
        <v>7689.58</v>
      </c>
      <c r="AD105" s="2">
        <v>8800.2469999999994</v>
      </c>
      <c r="AE105" s="2">
        <v>12063.795</v>
      </c>
    </row>
    <row r="106" spans="2:31">
      <c r="C106" s="1" t="s">
        <v>93</v>
      </c>
      <c r="F106" s="2">
        <v>0</v>
      </c>
      <c r="G106" s="2">
        <v>0</v>
      </c>
      <c r="H106" s="2">
        <v>0</v>
      </c>
      <c r="I106" s="2">
        <v>0</v>
      </c>
      <c r="J106" s="2">
        <v>4755.8389999999999</v>
      </c>
      <c r="K106" s="2">
        <v>7564.6090000000004</v>
      </c>
      <c r="L106" s="1">
        <f t="shared" ref="L106:U106" si="114">L150</f>
        <v>7510.9993055555542</v>
      </c>
      <c r="M106" s="1">
        <f t="shared" si="114"/>
        <v>8259.1660879629617</v>
      </c>
      <c r="N106" s="1">
        <f t="shared" si="114"/>
        <v>8382.6384066358005</v>
      </c>
      <c r="O106" s="1">
        <f t="shared" si="114"/>
        <v>8485.5320055298344</v>
      </c>
      <c r="P106" s="1">
        <f t="shared" si="114"/>
        <v>8571.2766712748617</v>
      </c>
      <c r="Q106" s="1">
        <f t="shared" si="114"/>
        <v>8642.7305593957171</v>
      </c>
      <c r="R106" s="1">
        <f t="shared" si="114"/>
        <v>8202.275466163097</v>
      </c>
      <c r="S106" s="1">
        <f t="shared" si="114"/>
        <v>7835.2295551359139</v>
      </c>
      <c r="T106" s="1">
        <f t="shared" si="114"/>
        <v>7529.3579626132605</v>
      </c>
      <c r="U106" s="1">
        <f t="shared" si="114"/>
        <v>7274.4649688443824</v>
      </c>
      <c r="X106" s="2"/>
      <c r="Y106" s="2">
        <v>0</v>
      </c>
      <c r="Z106" s="2">
        <v>0</v>
      </c>
      <c r="AA106" s="2">
        <v>0</v>
      </c>
      <c r="AB106" s="2">
        <v>4019.7060000000001</v>
      </c>
      <c r="AC106" s="2">
        <v>4755.8389999999999</v>
      </c>
      <c r="AD106" s="2">
        <v>5729.3519999999999</v>
      </c>
      <c r="AE106" s="2">
        <v>7564.6090000000004</v>
      </c>
    </row>
    <row r="107" spans="2:31">
      <c r="C107" s="1" t="s">
        <v>94</v>
      </c>
      <c r="F107" s="2">
        <v>0</v>
      </c>
      <c r="G107" s="2">
        <v>0</v>
      </c>
      <c r="H107" s="2">
        <v>0</v>
      </c>
      <c r="I107" s="2">
        <v>0</v>
      </c>
      <c r="J107" s="2">
        <v>92.602000000000004</v>
      </c>
      <c r="K107" s="2">
        <v>62.383000000000003</v>
      </c>
      <c r="L107" s="1">
        <f t="shared" ref="L107:U107" si="115">K107</f>
        <v>62.383000000000003</v>
      </c>
      <c r="M107" s="1">
        <f t="shared" si="115"/>
        <v>62.383000000000003</v>
      </c>
      <c r="N107" s="1">
        <f t="shared" si="115"/>
        <v>62.383000000000003</v>
      </c>
      <c r="O107" s="1">
        <f t="shared" si="115"/>
        <v>62.383000000000003</v>
      </c>
      <c r="P107" s="1">
        <f t="shared" si="115"/>
        <v>62.383000000000003</v>
      </c>
      <c r="Q107" s="1">
        <f t="shared" si="115"/>
        <v>62.383000000000003</v>
      </c>
      <c r="R107" s="1">
        <f t="shared" si="115"/>
        <v>62.383000000000003</v>
      </c>
      <c r="S107" s="1">
        <f t="shared" si="115"/>
        <v>62.383000000000003</v>
      </c>
      <c r="T107" s="1">
        <f t="shared" si="115"/>
        <v>62.383000000000003</v>
      </c>
      <c r="U107" s="1">
        <f t="shared" si="115"/>
        <v>62.383000000000003</v>
      </c>
      <c r="X107" s="2"/>
      <c r="Y107" s="2">
        <v>0</v>
      </c>
      <c r="Z107" s="2">
        <v>0</v>
      </c>
      <c r="AA107" s="2">
        <v>0</v>
      </c>
      <c r="AB107" s="2">
        <v>92.602000000000004</v>
      </c>
      <c r="AC107" s="2">
        <v>92.602000000000004</v>
      </c>
      <c r="AD107" s="2">
        <v>92.602000000000004</v>
      </c>
      <c r="AE107" s="2">
        <v>62.383000000000003</v>
      </c>
    </row>
    <row r="108" spans="2:31">
      <c r="C108" s="1" t="s">
        <v>95</v>
      </c>
      <c r="F108" s="2">
        <v>19.219000000000001</v>
      </c>
      <c r="G108" s="2">
        <v>14.954000000000001</v>
      </c>
      <c r="H108" s="2">
        <v>10.619</v>
      </c>
      <c r="I108" s="2">
        <v>51.816000000000003</v>
      </c>
      <c r="J108" s="2">
        <v>111.864</v>
      </c>
      <c r="K108" s="2">
        <v>91.563000000000002</v>
      </c>
      <c r="L108" s="1">
        <f t="shared" ref="L108:U108" si="116">L140</f>
        <v>122.30189905583359</v>
      </c>
      <c r="M108" s="1">
        <f t="shared" si="116"/>
        <v>124.72038016077127</v>
      </c>
      <c r="N108" s="1">
        <f t="shared" si="116"/>
        <v>126.19795188261418</v>
      </c>
      <c r="O108" s="1">
        <f t="shared" si="116"/>
        <v>127.1006747481071</v>
      </c>
      <c r="P108" s="1">
        <f t="shared" si="116"/>
        <v>127.6521935406212</v>
      </c>
      <c r="Q108" s="1">
        <f t="shared" si="116"/>
        <v>127.98914410443581</v>
      </c>
      <c r="R108" s="1">
        <f t="shared" si="116"/>
        <v>128.19500414764019</v>
      </c>
      <c r="S108" s="1">
        <f t="shared" si="116"/>
        <v>128.32077439983493</v>
      </c>
      <c r="T108" s="1">
        <f t="shared" si="116"/>
        <v>128.39761377133655</v>
      </c>
      <c r="U108" s="1">
        <f t="shared" si="116"/>
        <v>128.4445588073028</v>
      </c>
      <c r="X108" s="2"/>
      <c r="Y108" s="2">
        <v>10.619</v>
      </c>
      <c r="Z108" s="2">
        <v>31.876000000000001</v>
      </c>
      <c r="AA108" s="2">
        <v>51.816000000000003</v>
      </c>
      <c r="AB108" s="2">
        <v>144.65899999999999</v>
      </c>
      <c r="AC108" s="2">
        <v>111.864</v>
      </c>
      <c r="AD108" s="2">
        <v>103.015</v>
      </c>
      <c r="AE108" s="2">
        <v>91.563000000000002</v>
      </c>
    </row>
    <row r="109" spans="2:31">
      <c r="C109" s="1" t="s">
        <v>96</v>
      </c>
      <c r="F109" s="2">
        <v>0</v>
      </c>
      <c r="G109" s="2">
        <v>0</v>
      </c>
      <c r="H109" s="2">
        <v>4.4820000000000002</v>
      </c>
      <c r="I109" s="2">
        <f>34.531+65.331</f>
        <v>99.861999999999995</v>
      </c>
      <c r="J109" s="2">
        <f>169.417+56.741</f>
        <v>226.15800000000002</v>
      </c>
      <c r="K109" s="2">
        <f>268.526+32.806</f>
        <v>301.33199999999999</v>
      </c>
      <c r="L109" s="1">
        <f t="shared" ref="L109:U115" si="117">K109</f>
        <v>301.33199999999999</v>
      </c>
      <c r="M109" s="1">
        <f t="shared" si="117"/>
        <v>301.33199999999999</v>
      </c>
      <c r="N109" s="1">
        <f t="shared" si="117"/>
        <v>301.33199999999999</v>
      </c>
      <c r="O109" s="1">
        <f t="shared" si="117"/>
        <v>301.33199999999999</v>
      </c>
      <c r="P109" s="1">
        <f t="shared" si="117"/>
        <v>301.33199999999999</v>
      </c>
      <c r="Q109" s="1">
        <f t="shared" si="117"/>
        <v>301.33199999999999</v>
      </c>
      <c r="R109" s="1">
        <f t="shared" si="117"/>
        <v>301.33199999999999</v>
      </c>
      <c r="S109" s="1">
        <f t="shared" si="117"/>
        <v>301.33199999999999</v>
      </c>
      <c r="T109" s="1">
        <f t="shared" si="117"/>
        <v>301.33199999999999</v>
      </c>
      <c r="U109" s="1">
        <f t="shared" si="117"/>
        <v>301.33199999999999</v>
      </c>
      <c r="X109" s="2"/>
      <c r="Y109" s="2">
        <v>4.4820000000000002</v>
      </c>
      <c r="Z109" s="2">
        <v>9.6869999999999994</v>
      </c>
      <c r="AA109" s="2">
        <f>34.531+65.331</f>
        <v>99.861999999999995</v>
      </c>
      <c r="AB109" s="2">
        <f>115.984+61.792</f>
        <v>177.77600000000001</v>
      </c>
      <c r="AC109" s="2">
        <f>169.417+56.741</f>
        <v>226.15800000000002</v>
      </c>
      <c r="AD109" s="2">
        <f>214.869+53.535</f>
        <v>268.404</v>
      </c>
      <c r="AE109" s="2">
        <f>268.526+32.806</f>
        <v>301.33199999999999</v>
      </c>
    </row>
    <row r="110" spans="2:31">
      <c r="C110" s="20" t="s">
        <v>97</v>
      </c>
      <c r="F110" s="2">
        <v>305.31900000000002</v>
      </c>
      <c r="G110" s="2">
        <v>410.51799999999997</v>
      </c>
      <c r="H110" s="2">
        <v>0</v>
      </c>
      <c r="I110" s="2">
        <v>0</v>
      </c>
      <c r="J110" s="2">
        <v>0</v>
      </c>
      <c r="K110" s="2">
        <v>0</v>
      </c>
      <c r="L110" s="1">
        <f t="shared" si="117"/>
        <v>0</v>
      </c>
      <c r="M110" s="1">
        <f t="shared" si="117"/>
        <v>0</v>
      </c>
      <c r="N110" s="1">
        <f t="shared" si="117"/>
        <v>0</v>
      </c>
      <c r="O110" s="1">
        <f t="shared" si="117"/>
        <v>0</v>
      </c>
      <c r="P110" s="1">
        <f t="shared" si="117"/>
        <v>0</v>
      </c>
      <c r="Q110" s="1">
        <f t="shared" si="117"/>
        <v>0</v>
      </c>
      <c r="R110" s="1">
        <f t="shared" si="117"/>
        <v>0</v>
      </c>
      <c r="S110" s="1">
        <f t="shared" si="117"/>
        <v>0</v>
      </c>
      <c r="T110" s="1">
        <f t="shared" si="117"/>
        <v>0</v>
      </c>
      <c r="U110" s="1">
        <f t="shared" si="117"/>
        <v>0</v>
      </c>
      <c r="X110" s="2"/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</row>
    <row r="111" spans="2:31">
      <c r="C111" s="1" t="s">
        <v>98</v>
      </c>
      <c r="F111" s="2">
        <v>6.4939999999999998</v>
      </c>
      <c r="G111" s="2">
        <v>6.9370000000000003</v>
      </c>
      <c r="H111" s="2">
        <v>0</v>
      </c>
      <c r="I111" s="2">
        <v>12.585000000000001</v>
      </c>
      <c r="J111" s="2">
        <v>44.267000000000003</v>
      </c>
      <c r="K111" s="2">
        <v>86.998999999999995</v>
      </c>
      <c r="L111" s="1">
        <f t="shared" si="117"/>
        <v>86.998999999999995</v>
      </c>
      <c r="M111" s="1">
        <f t="shared" si="117"/>
        <v>86.998999999999995</v>
      </c>
      <c r="N111" s="1">
        <f t="shared" si="117"/>
        <v>86.998999999999995</v>
      </c>
      <c r="O111" s="1">
        <f t="shared" si="117"/>
        <v>86.998999999999995</v>
      </c>
      <c r="P111" s="1">
        <f t="shared" si="117"/>
        <v>86.998999999999995</v>
      </c>
      <c r="Q111" s="1">
        <f t="shared" si="117"/>
        <v>86.998999999999995</v>
      </c>
      <c r="R111" s="1">
        <f t="shared" si="117"/>
        <v>86.998999999999995</v>
      </c>
      <c r="S111" s="1">
        <f t="shared" si="117"/>
        <v>86.998999999999995</v>
      </c>
      <c r="T111" s="1">
        <f t="shared" si="117"/>
        <v>86.998999999999995</v>
      </c>
      <c r="U111" s="1">
        <f t="shared" si="117"/>
        <v>86.998999999999995</v>
      </c>
      <c r="X111" s="2"/>
      <c r="Y111" s="2">
        <v>0</v>
      </c>
      <c r="Z111" s="2">
        <v>12.585000000000001</v>
      </c>
      <c r="AA111" s="2">
        <v>12.585000000000001</v>
      </c>
      <c r="AB111" s="2">
        <v>33.177999999999997</v>
      </c>
      <c r="AC111" s="2">
        <v>44.267000000000003</v>
      </c>
      <c r="AD111" s="2">
        <v>23.678999999999998</v>
      </c>
      <c r="AE111" s="2">
        <v>86.998999999999995</v>
      </c>
    </row>
    <row r="112" spans="2:31">
      <c r="C112" s="1" t="s">
        <v>99</v>
      </c>
      <c r="F112" s="2">
        <v>0</v>
      </c>
      <c r="G112" s="2">
        <v>0</v>
      </c>
      <c r="H112" s="2">
        <v>0</v>
      </c>
      <c r="I112" s="2">
        <v>0</v>
      </c>
      <c r="J112" s="2">
        <v>48.832999999999998</v>
      </c>
      <c r="K112" s="2">
        <v>0</v>
      </c>
      <c r="L112" s="1">
        <f t="shared" si="117"/>
        <v>0</v>
      </c>
      <c r="M112" s="1">
        <f t="shared" si="117"/>
        <v>0</v>
      </c>
      <c r="N112" s="1">
        <f t="shared" si="117"/>
        <v>0</v>
      </c>
      <c r="O112" s="1">
        <f t="shared" si="117"/>
        <v>0</v>
      </c>
      <c r="P112" s="1">
        <f t="shared" si="117"/>
        <v>0</v>
      </c>
      <c r="Q112" s="1">
        <f t="shared" si="117"/>
        <v>0</v>
      </c>
      <c r="R112" s="1">
        <f t="shared" si="117"/>
        <v>0</v>
      </c>
      <c r="S112" s="1">
        <f t="shared" si="117"/>
        <v>0</v>
      </c>
      <c r="T112" s="1">
        <f t="shared" si="117"/>
        <v>0</v>
      </c>
      <c r="U112" s="1">
        <f t="shared" si="117"/>
        <v>0</v>
      </c>
      <c r="X112" s="2"/>
      <c r="Y112" s="2">
        <v>0</v>
      </c>
      <c r="Z112" s="2">
        <v>0</v>
      </c>
      <c r="AA112" s="2">
        <v>0</v>
      </c>
      <c r="AB112" s="2">
        <v>0</v>
      </c>
      <c r="AC112" s="2">
        <v>48.832999999999998</v>
      </c>
      <c r="AD112" s="2">
        <v>49.557000000000002</v>
      </c>
      <c r="AE112" s="2">
        <v>0</v>
      </c>
    </row>
    <row r="113" spans="3:31">
      <c r="C113" s="1" t="s">
        <v>100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52.414000000000001</v>
      </c>
      <c r="L113" s="1">
        <f t="shared" si="117"/>
        <v>52.414000000000001</v>
      </c>
      <c r="M113" s="1">
        <f t="shared" si="117"/>
        <v>52.414000000000001</v>
      </c>
      <c r="N113" s="1">
        <f t="shared" si="117"/>
        <v>52.414000000000001</v>
      </c>
      <c r="O113" s="1">
        <f t="shared" si="117"/>
        <v>52.414000000000001</v>
      </c>
      <c r="P113" s="1">
        <f t="shared" si="117"/>
        <v>52.414000000000001</v>
      </c>
      <c r="Q113" s="1">
        <f t="shared" si="117"/>
        <v>52.414000000000001</v>
      </c>
      <c r="R113" s="1">
        <f t="shared" si="117"/>
        <v>52.414000000000001</v>
      </c>
      <c r="S113" s="1">
        <f t="shared" si="117"/>
        <v>52.414000000000001</v>
      </c>
      <c r="T113" s="1">
        <f t="shared" si="117"/>
        <v>52.414000000000001</v>
      </c>
      <c r="U113" s="1">
        <f t="shared" si="117"/>
        <v>52.414000000000001</v>
      </c>
      <c r="X113" s="2"/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52.414000000000001</v>
      </c>
    </row>
    <row r="114" spans="3:31">
      <c r="C114" s="20" t="s">
        <v>101</v>
      </c>
      <c r="F114" s="2">
        <v>42.177</v>
      </c>
      <c r="G114" s="2">
        <v>49</v>
      </c>
      <c r="H114" s="2">
        <v>52.753999999999998</v>
      </c>
      <c r="I114" s="2">
        <v>91.626000000000005</v>
      </c>
      <c r="J114" s="2">
        <v>170.16900000000001</v>
      </c>
      <c r="K114" s="2">
        <v>353.44299999999998</v>
      </c>
      <c r="L114" s="1">
        <f t="shared" si="117"/>
        <v>353.44299999999998</v>
      </c>
      <c r="M114" s="1">
        <f t="shared" si="117"/>
        <v>353.44299999999998</v>
      </c>
      <c r="N114" s="1">
        <f t="shared" si="117"/>
        <v>353.44299999999998</v>
      </c>
      <c r="O114" s="1">
        <f t="shared" si="117"/>
        <v>353.44299999999998</v>
      </c>
      <c r="P114" s="1">
        <f t="shared" si="117"/>
        <v>353.44299999999998</v>
      </c>
      <c r="Q114" s="1">
        <f t="shared" si="117"/>
        <v>353.44299999999998</v>
      </c>
      <c r="R114" s="1">
        <f t="shared" si="117"/>
        <v>353.44299999999998</v>
      </c>
      <c r="S114" s="1">
        <f t="shared" si="117"/>
        <v>353.44299999999998</v>
      </c>
      <c r="T114" s="1">
        <f t="shared" si="117"/>
        <v>353.44299999999998</v>
      </c>
      <c r="U114" s="1">
        <f t="shared" si="117"/>
        <v>353.44299999999998</v>
      </c>
      <c r="X114" s="2"/>
      <c r="Y114" s="2">
        <v>52.753999999999998</v>
      </c>
      <c r="Z114" s="2">
        <v>67.42</v>
      </c>
      <c r="AA114" s="2">
        <v>91.626000000000005</v>
      </c>
      <c r="AB114" s="2">
        <v>155.58799999999999</v>
      </c>
      <c r="AC114" s="2">
        <v>170.16900000000001</v>
      </c>
      <c r="AD114" s="2">
        <v>216.405</v>
      </c>
      <c r="AE114" s="2">
        <v>353.44299999999998</v>
      </c>
    </row>
    <row r="115" spans="3:31">
      <c r="C115" s="1" t="s">
        <v>102</v>
      </c>
      <c r="F115" s="2">
        <v>0</v>
      </c>
      <c r="G115" s="2">
        <v>0</v>
      </c>
      <c r="H115" s="2">
        <v>0</v>
      </c>
      <c r="I115" s="2">
        <v>1720.2159999999999</v>
      </c>
      <c r="J115" s="2">
        <v>0</v>
      </c>
      <c r="K115" s="2">
        <f t="shared" ref="K115" si="118">J115</f>
        <v>0</v>
      </c>
      <c r="L115" s="1">
        <f t="shared" si="117"/>
        <v>0</v>
      </c>
      <c r="M115" s="1">
        <f t="shared" si="117"/>
        <v>0</v>
      </c>
      <c r="N115" s="1">
        <f t="shared" si="117"/>
        <v>0</v>
      </c>
      <c r="O115" s="1">
        <f t="shared" si="117"/>
        <v>0</v>
      </c>
      <c r="P115" s="1">
        <f t="shared" si="117"/>
        <v>0</v>
      </c>
      <c r="Q115" s="1">
        <f t="shared" si="117"/>
        <v>0</v>
      </c>
      <c r="R115" s="1">
        <f t="shared" si="117"/>
        <v>0</v>
      </c>
      <c r="S115" s="1">
        <f t="shared" si="117"/>
        <v>0</v>
      </c>
      <c r="T115" s="1">
        <f t="shared" si="117"/>
        <v>0</v>
      </c>
      <c r="U115" s="1">
        <f t="shared" si="117"/>
        <v>0</v>
      </c>
      <c r="X115" s="2"/>
      <c r="Y115" s="2">
        <v>0</v>
      </c>
      <c r="Z115" s="2">
        <v>0</v>
      </c>
      <c r="AA115" s="2">
        <v>1720.2159999999999</v>
      </c>
      <c r="AB115" s="2">
        <v>0</v>
      </c>
      <c r="AC115" s="2">
        <v>0</v>
      </c>
      <c r="AD115" s="2">
        <v>0</v>
      </c>
      <c r="AE115" s="2">
        <f t="shared" ref="AE115" si="119">AD115</f>
        <v>0</v>
      </c>
    </row>
    <row r="116" spans="3:31">
      <c r="C116" s="20" t="s">
        <v>103</v>
      </c>
      <c r="F116" s="2">
        <v>52.719000000000001</v>
      </c>
      <c r="G116" s="2">
        <v>68.397999999999996</v>
      </c>
      <c r="H116" s="2">
        <v>120.848</v>
      </c>
      <c r="I116" s="2">
        <v>232.749</v>
      </c>
      <c r="J116" s="2">
        <v>269.26900000000001</v>
      </c>
      <c r="K116" s="2">
        <v>352.29</v>
      </c>
      <c r="L116" s="1">
        <f t="shared" ref="L116:U116" si="120">L117*L296</f>
        <v>460.85394453004625</v>
      </c>
      <c r="M116" s="1">
        <f t="shared" si="120"/>
        <v>569.41788906009253</v>
      </c>
      <c r="N116" s="1">
        <f t="shared" si="120"/>
        <v>650.84084745762721</v>
      </c>
      <c r="O116" s="1">
        <f t="shared" si="120"/>
        <v>732.26380585516188</v>
      </c>
      <c r="P116" s="1">
        <f t="shared" si="120"/>
        <v>813.68676425269655</v>
      </c>
      <c r="Q116" s="1">
        <f t="shared" si="120"/>
        <v>895.10972265023122</v>
      </c>
      <c r="R116" s="1">
        <f t="shared" si="120"/>
        <v>949.39169491525433</v>
      </c>
      <c r="S116" s="1">
        <f t="shared" si="120"/>
        <v>1003.6736671802774</v>
      </c>
      <c r="T116" s="1">
        <f t="shared" si="120"/>
        <v>1057.9556394453004</v>
      </c>
      <c r="U116" s="1">
        <f t="shared" si="120"/>
        <v>1112.2376117103236</v>
      </c>
      <c r="X116" s="2"/>
      <c r="Y116" s="2">
        <v>120.848</v>
      </c>
      <c r="Z116" s="2">
        <v>163.96199999999999</v>
      </c>
      <c r="AA116" s="2">
        <v>232.749</v>
      </c>
      <c r="AB116" s="2">
        <v>229.72900000000001</v>
      </c>
      <c r="AC116" s="2">
        <v>269.26900000000001</v>
      </c>
      <c r="AD116" s="2">
        <v>301.26600000000002</v>
      </c>
      <c r="AE116" s="2">
        <v>352.29</v>
      </c>
    </row>
    <row r="117" spans="3:31" s="10" customFormat="1">
      <c r="D117" s="10" t="s">
        <v>104</v>
      </c>
      <c r="F117" s="15">
        <f t="shared" ref="F117:I117" si="121">F116/F296</f>
        <v>0.36108904109589041</v>
      </c>
      <c r="G117" s="15">
        <f t="shared" si="121"/>
        <v>0.388625</v>
      </c>
      <c r="H117" s="15">
        <f t="shared" si="121"/>
        <v>0.44266666666666665</v>
      </c>
      <c r="I117" s="15">
        <f t="shared" si="121"/>
        <v>0.49946137339055791</v>
      </c>
      <c r="J117" s="15">
        <f>J116/J296</f>
        <v>0.35061067708333332</v>
      </c>
      <c r="K117" s="15">
        <f>K116/K296</f>
        <v>0.27140986132511558</v>
      </c>
      <c r="L117" s="16">
        <f t="shared" ref="L117:U118" si="122">K117</f>
        <v>0.27140986132511558</v>
      </c>
      <c r="M117" s="16">
        <f t="shared" si="122"/>
        <v>0.27140986132511558</v>
      </c>
      <c r="N117" s="16">
        <f t="shared" si="122"/>
        <v>0.27140986132511558</v>
      </c>
      <c r="O117" s="16">
        <f t="shared" si="122"/>
        <v>0.27140986132511558</v>
      </c>
      <c r="P117" s="16">
        <f t="shared" si="122"/>
        <v>0.27140986132511558</v>
      </c>
      <c r="Q117" s="16">
        <f t="shared" si="122"/>
        <v>0.27140986132511558</v>
      </c>
      <c r="R117" s="16">
        <f t="shared" si="122"/>
        <v>0.27140986132511558</v>
      </c>
      <c r="S117" s="16">
        <f t="shared" si="122"/>
        <v>0.27140986132511558</v>
      </c>
      <c r="T117" s="16">
        <f t="shared" si="122"/>
        <v>0.27140986132511558</v>
      </c>
      <c r="U117" s="16">
        <f t="shared" si="122"/>
        <v>0.27140986132511558</v>
      </c>
      <c r="AE117" s="15"/>
    </row>
    <row r="118" spans="3:31">
      <c r="C118" s="1" t="s">
        <v>105</v>
      </c>
      <c r="F118" s="2">
        <v>0</v>
      </c>
      <c r="G118" s="2">
        <v>0</v>
      </c>
      <c r="H118" s="2">
        <v>0</v>
      </c>
      <c r="I118" s="2">
        <v>0</v>
      </c>
      <c r="J118" s="2">
        <v>5.0599999999999996</v>
      </c>
      <c r="K118" s="2">
        <v>5.0599999999999996</v>
      </c>
      <c r="L118" s="1">
        <f t="shared" si="122"/>
        <v>5.0599999999999996</v>
      </c>
      <c r="M118" s="1">
        <f t="shared" si="122"/>
        <v>5.0599999999999996</v>
      </c>
      <c r="N118" s="1">
        <f t="shared" si="122"/>
        <v>5.0599999999999996</v>
      </c>
      <c r="O118" s="1">
        <f t="shared" si="122"/>
        <v>5.0599999999999996</v>
      </c>
      <c r="P118" s="1">
        <f t="shared" si="122"/>
        <v>5.0599999999999996</v>
      </c>
      <c r="Q118" s="1">
        <f t="shared" si="122"/>
        <v>5.0599999999999996</v>
      </c>
      <c r="R118" s="1">
        <f t="shared" si="122"/>
        <v>5.0599999999999996</v>
      </c>
      <c r="S118" s="1">
        <f t="shared" si="122"/>
        <v>5.0599999999999996</v>
      </c>
      <c r="T118" s="1">
        <f t="shared" si="122"/>
        <v>5.0599999999999996</v>
      </c>
      <c r="U118" s="1">
        <f t="shared" si="122"/>
        <v>5.0599999999999996</v>
      </c>
      <c r="X118" s="2"/>
      <c r="Y118" s="2">
        <v>0</v>
      </c>
      <c r="Z118" s="2">
        <v>0</v>
      </c>
      <c r="AA118" s="2">
        <v>0</v>
      </c>
      <c r="AB118" s="2">
        <v>145.595</v>
      </c>
      <c r="AC118" s="2">
        <v>5.0599999999999996</v>
      </c>
      <c r="AD118" s="2">
        <v>5.0599999999999996</v>
      </c>
      <c r="AE118" s="2">
        <v>5.0599999999999996</v>
      </c>
    </row>
    <row r="120" spans="3:31" s="21" customFormat="1">
      <c r="C120" s="21" t="s">
        <v>106</v>
      </c>
    </row>
    <row r="121" spans="3:31" outlineLevel="1">
      <c r="C121" s="1" t="s">
        <v>107</v>
      </c>
      <c r="F121" s="2">
        <f>1091.336-446.127</f>
        <v>645.20900000000006</v>
      </c>
      <c r="G121" s="1">
        <f t="shared" ref="G121:I121" si="123">F129</f>
        <v>796.62800000000004</v>
      </c>
      <c r="H121" s="1">
        <f t="shared" si="123"/>
        <v>943.04100000000005</v>
      </c>
      <c r="I121" s="1">
        <f t="shared" si="123"/>
        <v>2085.4279999999999</v>
      </c>
      <c r="J121" s="1">
        <f>I129</f>
        <v>3999.8029999999999</v>
      </c>
      <c r="K121" s="1">
        <f t="shared" ref="K121:U121" si="124">J129</f>
        <v>7689.58</v>
      </c>
      <c r="L121" s="1">
        <f t="shared" si="124"/>
        <v>13320.156974160705</v>
      </c>
      <c r="M121" s="1">
        <f t="shared" si="124"/>
        <v>18889.587483856129</v>
      </c>
      <c r="N121" s="1">
        <f t="shared" si="124"/>
        <v>25161.248863667868</v>
      </c>
      <c r="O121" s="1">
        <f t="shared" si="124"/>
        <v>31344.382872813658</v>
      </c>
      <c r="P121" s="1">
        <f t="shared" si="124"/>
        <v>37930.982652688035</v>
      </c>
      <c r="Q121" s="1">
        <f t="shared" si="124"/>
        <v>44998.780591366689</v>
      </c>
      <c r="R121" s="1">
        <f t="shared" si="124"/>
        <v>52615.982249390443</v>
      </c>
      <c r="S121" s="1">
        <f t="shared" si="124"/>
        <v>60045.141894566084</v>
      </c>
      <c r="T121" s="1">
        <f t="shared" si="124"/>
        <v>67690.50824685549</v>
      </c>
      <c r="U121" s="1">
        <f t="shared" si="124"/>
        <v>75680.957573886408</v>
      </c>
    </row>
    <row r="122" spans="3:31" outlineLevel="1">
      <c r="C122" s="1" t="s">
        <v>108</v>
      </c>
      <c r="F122" s="1">
        <f t="shared" ref="F122:I122" si="125">-F224</f>
        <v>399.92500000000001</v>
      </c>
      <c r="G122" s="1">
        <f t="shared" si="125"/>
        <v>429.46600000000001</v>
      </c>
      <c r="H122" s="1">
        <f t="shared" si="125"/>
        <v>1242.904</v>
      </c>
      <c r="I122" s="1">
        <f t="shared" si="125"/>
        <v>2508.2629999999999</v>
      </c>
      <c r="J122" s="1">
        <f>-J224</f>
        <v>4880.8069999999998</v>
      </c>
      <c r="K122" s="1">
        <f>K123+K124</f>
        <v>8001.2316841201718</v>
      </c>
      <c r="L122" s="1">
        <f t="shared" ref="L122:U122" si="126">L123+L124</f>
        <v>9675.9607581866949</v>
      </c>
      <c r="M122" s="1">
        <f t="shared" si="126"/>
        <v>12095.21605221191</v>
      </c>
      <c r="N122" s="1">
        <f t="shared" si="126"/>
        <v>13940.206973744178</v>
      </c>
      <c r="O122" s="1">
        <f t="shared" si="126"/>
        <v>16249.898541082206</v>
      </c>
      <c r="P122" s="1">
        <f t="shared" si="126"/>
        <v>18761.708747719676</v>
      </c>
      <c r="Q122" s="1">
        <f t="shared" si="126"/>
        <v>21490.075228668185</v>
      </c>
      <c r="R122" s="1">
        <f t="shared" si="126"/>
        <v>23650.37408584225</v>
      </c>
      <c r="S122" s="1">
        <f t="shared" si="126"/>
        <v>26156.949357152818</v>
      </c>
      <c r="T122" s="1">
        <f t="shared" si="126"/>
        <v>28859.05622037984</v>
      </c>
      <c r="U122" s="1">
        <f t="shared" si="126"/>
        <v>31769.981396536681</v>
      </c>
    </row>
    <row r="123" spans="3:31" outlineLevel="1">
      <c r="D123" s="1" t="s">
        <v>109</v>
      </c>
      <c r="F123" s="3">
        <f t="shared" ref="F123:I123" si="127">F282*9</f>
        <v>324</v>
      </c>
      <c r="G123" s="3">
        <f t="shared" si="127"/>
        <v>288</v>
      </c>
      <c r="H123" s="3">
        <f t="shared" si="127"/>
        <v>882</v>
      </c>
      <c r="I123" s="3">
        <f t="shared" si="127"/>
        <v>1800</v>
      </c>
      <c r="J123" s="3">
        <f>J282*9</f>
        <v>2772</v>
      </c>
      <c r="K123" s="3">
        <f>K282*8</f>
        <v>4352</v>
      </c>
      <c r="L123" s="3">
        <f t="shared" ref="L123:U123" si="128">L282*8</f>
        <v>3200</v>
      </c>
      <c r="M123" s="3">
        <f t="shared" si="128"/>
        <v>3200</v>
      </c>
      <c r="N123" s="3">
        <f t="shared" si="128"/>
        <v>2400</v>
      </c>
      <c r="O123" s="3">
        <f t="shared" si="128"/>
        <v>2400</v>
      </c>
      <c r="P123" s="3">
        <f>P282*8</f>
        <v>2400</v>
      </c>
      <c r="Q123" s="3">
        <f t="shared" si="128"/>
        <v>2400</v>
      </c>
      <c r="R123" s="3">
        <f t="shared" si="128"/>
        <v>1600</v>
      </c>
      <c r="S123" s="3">
        <f t="shared" si="128"/>
        <v>1600</v>
      </c>
      <c r="T123" s="3">
        <f>T282*8</f>
        <v>1600</v>
      </c>
      <c r="U123" s="3">
        <f t="shared" si="128"/>
        <v>1600</v>
      </c>
    </row>
    <row r="124" spans="3:31" outlineLevel="1">
      <c r="D124" s="1" t="s">
        <v>110</v>
      </c>
      <c r="F124" s="1">
        <f>F122-F123</f>
        <v>75.925000000000011</v>
      </c>
      <c r="G124" s="1">
        <f t="shared" ref="G124:J124" si="129">G122-G123</f>
        <v>141.46600000000001</v>
      </c>
      <c r="H124" s="1">
        <f t="shared" si="129"/>
        <v>360.904</v>
      </c>
      <c r="I124" s="1">
        <f t="shared" si="129"/>
        <v>708.26299999999992</v>
      </c>
      <c r="J124" s="1">
        <f t="shared" si="129"/>
        <v>2108.8069999999998</v>
      </c>
      <c r="K124" s="1">
        <f>K125*K281</f>
        <v>3649.2316841201714</v>
      </c>
      <c r="L124" s="1">
        <f t="shared" ref="L124:U124" si="130">L125*L281</f>
        <v>6475.9607581866949</v>
      </c>
      <c r="M124" s="1">
        <f t="shared" si="130"/>
        <v>8895.2160522119102</v>
      </c>
      <c r="N124" s="1">
        <f t="shared" si="130"/>
        <v>11540.206973744178</v>
      </c>
      <c r="O124" s="1">
        <f t="shared" si="130"/>
        <v>13849.898541082206</v>
      </c>
      <c r="P124" s="1">
        <f t="shared" si="130"/>
        <v>16361.708747719675</v>
      </c>
      <c r="Q124" s="1">
        <f t="shared" si="130"/>
        <v>19090.075228668185</v>
      </c>
      <c r="R124" s="1">
        <f t="shared" si="130"/>
        <v>22050.37408584225</v>
      </c>
      <c r="S124" s="1">
        <f t="shared" si="130"/>
        <v>24556.949357152818</v>
      </c>
      <c r="T124" s="1">
        <f t="shared" si="130"/>
        <v>27259.05622037984</v>
      </c>
      <c r="U124" s="1">
        <f t="shared" si="130"/>
        <v>30169.981396536681</v>
      </c>
    </row>
    <row r="125" spans="3:31" s="10" customFormat="1" outlineLevel="1">
      <c r="E125" s="10" t="s">
        <v>111</v>
      </c>
      <c r="F125" s="15">
        <f t="shared" ref="F125:I125" si="131">F124/F281</f>
        <v>0.67790178571428583</v>
      </c>
      <c r="G125" s="15">
        <f t="shared" si="131"/>
        <v>0.96894520547945207</v>
      </c>
      <c r="H125" s="15">
        <f t="shared" si="131"/>
        <v>2.0505909090909089</v>
      </c>
      <c r="I125" s="15">
        <f t="shared" si="131"/>
        <v>2.5943699633699633</v>
      </c>
      <c r="J125" s="15">
        <f>J124/J281</f>
        <v>4.5253369098712444</v>
      </c>
      <c r="K125" s="16">
        <f>J125*(1+5%)</f>
        <v>4.7516037553648065</v>
      </c>
      <c r="L125" s="16">
        <f t="shared" ref="L125:U125" si="132">K125*(1+5%)</f>
        <v>4.9891839431330469</v>
      </c>
      <c r="M125" s="16">
        <f t="shared" si="132"/>
        <v>5.2386431402896996</v>
      </c>
      <c r="N125" s="16">
        <f t="shared" si="132"/>
        <v>5.5005752973041844</v>
      </c>
      <c r="O125" s="16">
        <f t="shared" si="132"/>
        <v>5.7756040621693936</v>
      </c>
      <c r="P125" s="16">
        <f t="shared" si="132"/>
        <v>6.0643842652778632</v>
      </c>
      <c r="Q125" s="16">
        <f t="shared" si="132"/>
        <v>6.3676034785417563</v>
      </c>
      <c r="R125" s="16">
        <f t="shared" si="132"/>
        <v>6.6859836524688445</v>
      </c>
      <c r="S125" s="16">
        <f t="shared" si="132"/>
        <v>7.0202828350922868</v>
      </c>
      <c r="T125" s="16">
        <f t="shared" si="132"/>
        <v>7.3712969768469012</v>
      </c>
      <c r="U125" s="16">
        <f t="shared" si="132"/>
        <v>7.7398618256892462</v>
      </c>
    </row>
    <row r="126" spans="3:31" outlineLevel="1">
      <c r="C126" s="1" t="s">
        <v>52</v>
      </c>
      <c r="F126" s="22">
        <f t="shared" ref="F126:I126" si="133">-F213</f>
        <v>-236.04900000000001</v>
      </c>
      <c r="G126" s="22">
        <f t="shared" si="133"/>
        <v>-281.39499999999998</v>
      </c>
      <c r="H126" s="22">
        <f t="shared" si="133"/>
        <v>-355.37700000000001</v>
      </c>
      <c r="I126" s="22">
        <f t="shared" si="133"/>
        <v>-679.59</v>
      </c>
      <c r="J126" s="22">
        <f>-J213</f>
        <v>-1233.117</v>
      </c>
      <c r="K126" s="22">
        <f>K121/K127</f>
        <v>-2370.6547099594654</v>
      </c>
      <c r="L126" s="22">
        <f t="shared" ref="L126:U126" si="134">L121/L127</f>
        <v>-4106.53024849127</v>
      </c>
      <c r="M126" s="22">
        <f t="shared" si="134"/>
        <v>-5823.5546724001697</v>
      </c>
      <c r="N126" s="22">
        <f t="shared" si="134"/>
        <v>-7757.0729645983884</v>
      </c>
      <c r="O126" s="22">
        <f t="shared" si="134"/>
        <v>-9663.2987612078286</v>
      </c>
      <c r="P126" s="22">
        <f t="shared" si="134"/>
        <v>-11693.910809041023</v>
      </c>
      <c r="Q126" s="22">
        <f t="shared" si="134"/>
        <v>-13872.873570644433</v>
      </c>
      <c r="R126" s="22">
        <f t="shared" si="134"/>
        <v>-16221.214440666601</v>
      </c>
      <c r="S126" s="22">
        <f t="shared" si="134"/>
        <v>-18511.583004863402</v>
      </c>
      <c r="T126" s="22">
        <f t="shared" si="134"/>
        <v>-20868.606893348922</v>
      </c>
      <c r="U126" s="22">
        <f t="shared" si="134"/>
        <v>-23332.017942043167</v>
      </c>
    </row>
    <row r="127" spans="3:31" s="23" customFormat="1" outlineLevel="1">
      <c r="C127" s="23" t="s">
        <v>112</v>
      </c>
      <c r="F127" s="24">
        <f t="shared" ref="F127:H127" si="135">F121/F126</f>
        <v>-2.733368919165089</v>
      </c>
      <c r="G127" s="24">
        <f t="shared" si="135"/>
        <v>-2.8309955756143501</v>
      </c>
      <c r="H127" s="24">
        <f t="shared" si="135"/>
        <v>-2.6536354350450368</v>
      </c>
      <c r="I127" s="24">
        <f>I121/I126</f>
        <v>-3.0686561014729468</v>
      </c>
      <c r="J127" s="24">
        <f>J121/J126</f>
        <v>-3.243652467689603</v>
      </c>
      <c r="K127" s="25">
        <f>J127</f>
        <v>-3.243652467689603</v>
      </c>
      <c r="L127" s="25">
        <f t="shared" ref="L127:U127" si="136">K127</f>
        <v>-3.243652467689603</v>
      </c>
      <c r="M127" s="25">
        <f t="shared" si="136"/>
        <v>-3.243652467689603</v>
      </c>
      <c r="N127" s="25">
        <f t="shared" si="136"/>
        <v>-3.243652467689603</v>
      </c>
      <c r="O127" s="25">
        <f t="shared" si="136"/>
        <v>-3.243652467689603</v>
      </c>
      <c r="P127" s="25">
        <f t="shared" si="136"/>
        <v>-3.243652467689603</v>
      </c>
      <c r="Q127" s="25">
        <f t="shared" si="136"/>
        <v>-3.243652467689603</v>
      </c>
      <c r="R127" s="25">
        <f t="shared" si="136"/>
        <v>-3.243652467689603</v>
      </c>
      <c r="S127" s="25">
        <f t="shared" si="136"/>
        <v>-3.243652467689603</v>
      </c>
      <c r="T127" s="25">
        <f t="shared" si="136"/>
        <v>-3.243652467689603</v>
      </c>
      <c r="U127" s="25">
        <f t="shared" si="136"/>
        <v>-3.243652467689603</v>
      </c>
    </row>
    <row r="128" spans="3:31" outlineLevel="1">
      <c r="C128" s="1" t="s">
        <v>113</v>
      </c>
      <c r="F128" s="1">
        <f t="shared" ref="F128:I128" si="137">F121+F122+F126</f>
        <v>809.08500000000004</v>
      </c>
      <c r="G128" s="1">
        <f t="shared" si="137"/>
        <v>944.69900000000007</v>
      </c>
      <c r="H128" s="1">
        <f t="shared" si="137"/>
        <v>1830.5680000000002</v>
      </c>
      <c r="I128" s="1">
        <f t="shared" si="137"/>
        <v>3914.1009999999997</v>
      </c>
      <c r="J128" s="1">
        <f>J121+J122+J126</f>
        <v>7647.4930000000004</v>
      </c>
      <c r="K128" s="1">
        <f>K121+K122+K126</f>
        <v>13320.156974160705</v>
      </c>
      <c r="L128" s="1">
        <f t="shared" ref="L128:U128" si="138">L121+L122+L126</f>
        <v>18889.587483856129</v>
      </c>
      <c r="M128" s="1">
        <f t="shared" si="138"/>
        <v>25161.248863667868</v>
      </c>
      <c r="N128" s="1">
        <f t="shared" si="138"/>
        <v>31344.382872813658</v>
      </c>
      <c r="O128" s="1">
        <f t="shared" si="138"/>
        <v>37930.982652688035</v>
      </c>
      <c r="P128" s="1">
        <f t="shared" si="138"/>
        <v>44998.780591366689</v>
      </c>
      <c r="Q128" s="1">
        <f t="shared" si="138"/>
        <v>52615.982249390443</v>
      </c>
      <c r="R128" s="1">
        <f t="shared" si="138"/>
        <v>60045.141894566084</v>
      </c>
      <c r="S128" s="1">
        <f t="shared" si="138"/>
        <v>67690.50824685549</v>
      </c>
      <c r="T128" s="1">
        <f t="shared" si="138"/>
        <v>75680.957573886408</v>
      </c>
      <c r="U128" s="1">
        <f t="shared" si="138"/>
        <v>84118.921028379918</v>
      </c>
    </row>
    <row r="129" spans="3:21" outlineLevel="1">
      <c r="C129" s="1" t="s">
        <v>114</v>
      </c>
      <c r="F129" s="1">
        <f t="shared" ref="F129:I129" si="139">F105</f>
        <v>796.62800000000004</v>
      </c>
      <c r="G129" s="1">
        <f t="shared" si="139"/>
        <v>943.04100000000005</v>
      </c>
      <c r="H129" s="1">
        <f t="shared" si="139"/>
        <v>2085.4279999999999</v>
      </c>
      <c r="I129" s="1">
        <f t="shared" si="139"/>
        <v>3999.8029999999999</v>
      </c>
      <c r="J129" s="1">
        <f>J105</f>
        <v>7689.58</v>
      </c>
      <c r="K129" s="1">
        <f>K128</f>
        <v>13320.156974160705</v>
      </c>
      <c r="L129" s="1">
        <f t="shared" ref="L129:U129" si="140">L128</f>
        <v>18889.587483856129</v>
      </c>
      <c r="M129" s="1">
        <f t="shared" si="140"/>
        <v>25161.248863667868</v>
      </c>
      <c r="N129" s="1">
        <f t="shared" si="140"/>
        <v>31344.382872813658</v>
      </c>
      <c r="O129" s="1">
        <f t="shared" si="140"/>
        <v>37930.982652688035</v>
      </c>
      <c r="P129" s="1">
        <f t="shared" si="140"/>
        <v>44998.780591366689</v>
      </c>
      <c r="Q129" s="1">
        <f t="shared" si="140"/>
        <v>52615.982249390443</v>
      </c>
      <c r="R129" s="1">
        <f t="shared" si="140"/>
        <v>60045.141894566084</v>
      </c>
      <c r="S129" s="1">
        <f t="shared" si="140"/>
        <v>67690.50824685549</v>
      </c>
      <c r="T129" s="1">
        <f t="shared" si="140"/>
        <v>75680.957573886408</v>
      </c>
      <c r="U129" s="1">
        <f t="shared" si="140"/>
        <v>84118.921028379918</v>
      </c>
    </row>
    <row r="130" spans="3:21" s="26" customFormat="1" outlineLevel="1">
      <c r="C130" s="26" t="s">
        <v>115</v>
      </c>
      <c r="F130" s="26">
        <f>F129-F128</f>
        <v>-12.456999999999994</v>
      </c>
      <c r="G130" s="26">
        <f>G129-G128</f>
        <v>-1.6580000000000155</v>
      </c>
      <c r="H130" s="26">
        <f>H129-H128</f>
        <v>254.85999999999967</v>
      </c>
      <c r="I130" s="26">
        <f>I129-I128</f>
        <v>85.702000000000226</v>
      </c>
      <c r="J130" s="26">
        <f>J129-J128</f>
        <v>42.086999999999534</v>
      </c>
    </row>
    <row r="131" spans="3:21" outlineLevel="1">
      <c r="D131" s="1" t="s">
        <v>116</v>
      </c>
      <c r="F131" s="27">
        <f>F129/F263</f>
        <v>5.4563561643835623</v>
      </c>
      <c r="G131" s="27">
        <f>G129/G263</f>
        <v>5.3581875000000005</v>
      </c>
      <c r="H131" s="27">
        <f>H129/H263</f>
        <v>7.6389304029304022</v>
      </c>
      <c r="I131" s="27">
        <f>I129/I263</f>
        <v>8.5832682403433473</v>
      </c>
      <c r="J131" s="27">
        <f>J129/J263</f>
        <v>10.012473958333333</v>
      </c>
      <c r="K131" s="27">
        <f t="shared" ref="K131:U131" si="141">K129/K263</f>
        <v>10.26206238379099</v>
      </c>
      <c r="L131" s="27">
        <f t="shared" si="141"/>
        <v>11.124609825592538</v>
      </c>
      <c r="M131" s="27">
        <f t="shared" si="141"/>
        <v>11.992968953130537</v>
      </c>
      <c r="N131" s="27">
        <f t="shared" si="141"/>
        <v>13.071052073733803</v>
      </c>
      <c r="O131" s="27">
        <f t="shared" si="141"/>
        <v>14.058926112931074</v>
      </c>
      <c r="P131" s="27">
        <f t="shared" si="141"/>
        <v>15.00959993040917</v>
      </c>
      <c r="Q131" s="27">
        <f t="shared" si="141"/>
        <v>15.95390607925726</v>
      </c>
      <c r="R131" s="27">
        <f t="shared" si="141"/>
        <v>17.165563720573495</v>
      </c>
      <c r="S131" s="27">
        <f t="shared" si="141"/>
        <v>18.304626351231878</v>
      </c>
      <c r="T131" s="27">
        <f t="shared" si="141"/>
        <v>19.415330316543461</v>
      </c>
      <c r="U131" s="27">
        <f t="shared" si="141"/>
        <v>20.526823091356739</v>
      </c>
    </row>
    <row r="132" spans="3:21" s="8" customFormat="1" outlineLevel="1">
      <c r="E132" s="8" t="s">
        <v>30</v>
      </c>
      <c r="G132" s="8">
        <f t="shared" ref="G132:I132" si="142">G131/F131-1</f>
        <v>-1.7991615911065129E-2</v>
      </c>
      <c r="H132" s="8">
        <f t="shared" si="142"/>
        <v>0.4256556723575653</v>
      </c>
      <c r="I132" s="8">
        <f t="shared" si="142"/>
        <v>0.12362173597637227</v>
      </c>
      <c r="J132" s="8">
        <f>J131/I131-1</f>
        <v>0.1665106667961731</v>
      </c>
      <c r="K132" s="8">
        <f t="shared" ref="K132:U132" si="143">K131/J131-1</f>
        <v>2.4927747777054199E-2</v>
      </c>
      <c r="L132" s="8">
        <f t="shared" si="143"/>
        <v>8.4052055965275319E-2</v>
      </c>
      <c r="M132" s="8">
        <f t="shared" si="143"/>
        <v>7.8057490658262063E-2</v>
      </c>
      <c r="N132" s="8">
        <f t="shared" si="143"/>
        <v>8.9892930167375429E-2</v>
      </c>
      <c r="O132" s="8">
        <f t="shared" si="143"/>
        <v>7.5577239966964749E-2</v>
      </c>
      <c r="P132" s="8">
        <f t="shared" si="143"/>
        <v>6.7620656787127364E-2</v>
      </c>
      <c r="Q132" s="8">
        <f t="shared" si="143"/>
        <v>6.291347892190946E-2</v>
      </c>
      <c r="R132" s="8">
        <f t="shared" si="143"/>
        <v>7.5947397163857566E-2</v>
      </c>
      <c r="S132" s="8">
        <f t="shared" si="143"/>
        <v>6.6357426368303774E-2</v>
      </c>
      <c r="T132" s="8">
        <f t="shared" si="143"/>
        <v>6.0678865768643897E-2</v>
      </c>
      <c r="U132" s="8">
        <f t="shared" si="143"/>
        <v>5.7248203182316937E-2</v>
      </c>
    </row>
    <row r="134" spans="3:21" s="21" customFormat="1">
      <c r="C134" s="21" t="s">
        <v>117</v>
      </c>
    </row>
    <row r="135" spans="3:21" outlineLevel="1">
      <c r="C135" s="1" t="s">
        <v>107</v>
      </c>
      <c r="F135" s="2">
        <f>10.494-0.684</f>
        <v>9.81</v>
      </c>
      <c r="G135" s="1">
        <f t="shared" ref="G135:I135" si="144">F140</f>
        <v>19.219000000000001</v>
      </c>
      <c r="H135" s="1">
        <f t="shared" si="144"/>
        <v>14.954000000000001</v>
      </c>
      <c r="I135" s="1">
        <f t="shared" si="144"/>
        <v>10.619</v>
      </c>
      <c r="J135" s="1">
        <f>I140</f>
        <v>51.816000000000003</v>
      </c>
      <c r="K135" s="1">
        <f t="shared" ref="K135:U135" si="145">J140</f>
        <v>111.864</v>
      </c>
      <c r="L135" s="1">
        <f t="shared" si="145"/>
        <v>118.34334275127375</v>
      </c>
      <c r="M135" s="1">
        <f t="shared" si="145"/>
        <v>122.30189905583359</v>
      </c>
      <c r="N135" s="1">
        <f t="shared" si="145"/>
        <v>124.72038016077127</v>
      </c>
      <c r="O135" s="1">
        <f t="shared" si="145"/>
        <v>126.19795188261418</v>
      </c>
      <c r="P135" s="1">
        <f t="shared" si="145"/>
        <v>127.1006747481071</v>
      </c>
      <c r="Q135" s="1">
        <f t="shared" si="145"/>
        <v>127.6521935406212</v>
      </c>
      <c r="R135" s="1">
        <f t="shared" si="145"/>
        <v>127.98914410443581</v>
      </c>
      <c r="S135" s="1">
        <f t="shared" si="145"/>
        <v>128.19500414764019</v>
      </c>
      <c r="T135" s="1">
        <f t="shared" si="145"/>
        <v>128.32077439983493</v>
      </c>
      <c r="U135" s="1">
        <f t="shared" si="145"/>
        <v>128.39761377133655</v>
      </c>
    </row>
    <row r="136" spans="3:21" outlineLevel="1">
      <c r="C136" s="1" t="s">
        <v>108</v>
      </c>
      <c r="F136" s="1">
        <f t="shared" ref="F136:I136" si="146">-F225</f>
        <v>12.512</v>
      </c>
      <c r="G136" s="1">
        <f t="shared" si="146"/>
        <v>0.22600000000000001</v>
      </c>
      <c r="H136" s="1">
        <f t="shared" si="146"/>
        <v>0.17299999999999999</v>
      </c>
      <c r="I136" s="1">
        <f t="shared" si="146"/>
        <v>50.805999999999997</v>
      </c>
      <c r="J136" s="1">
        <f>-J225</f>
        <v>63.118000000000002</v>
      </c>
      <c r="K136" s="3">
        <v>50</v>
      </c>
      <c r="L136" s="3">
        <f>K136</f>
        <v>50</v>
      </c>
      <c r="M136" s="3">
        <f t="shared" ref="M136:U136" si="147">L136</f>
        <v>50</v>
      </c>
      <c r="N136" s="3">
        <f t="shared" si="147"/>
        <v>50</v>
      </c>
      <c r="O136" s="3">
        <f t="shared" si="147"/>
        <v>50</v>
      </c>
      <c r="P136" s="3">
        <f t="shared" si="147"/>
        <v>50</v>
      </c>
      <c r="Q136" s="3">
        <f t="shared" si="147"/>
        <v>50</v>
      </c>
      <c r="R136" s="3">
        <f t="shared" si="147"/>
        <v>50</v>
      </c>
      <c r="S136" s="3">
        <f t="shared" si="147"/>
        <v>50</v>
      </c>
      <c r="T136" s="3">
        <f t="shared" si="147"/>
        <v>50</v>
      </c>
      <c r="U136" s="3">
        <f t="shared" si="147"/>
        <v>50</v>
      </c>
    </row>
    <row r="137" spans="3:21" outlineLevel="1">
      <c r="C137" s="1" t="s">
        <v>52</v>
      </c>
      <c r="F137" s="22">
        <f t="shared" ref="F137:I137" si="148">-F214</f>
        <v>-3.13</v>
      </c>
      <c r="G137" s="22">
        <f t="shared" si="148"/>
        <v>-4.5229999999999997</v>
      </c>
      <c r="H137" s="22">
        <f t="shared" si="148"/>
        <v>-4.4619999999999997</v>
      </c>
      <c r="I137" s="22">
        <f t="shared" si="148"/>
        <v>-9.7309999999999999</v>
      </c>
      <c r="J137" s="22">
        <f>-J214</f>
        <v>-20.158999999999999</v>
      </c>
      <c r="K137" s="1">
        <f>K135/K138</f>
        <v>-43.520657248726259</v>
      </c>
      <c r="L137" s="1">
        <f>L135/L138</f>
        <v>-46.041443695440158</v>
      </c>
      <c r="M137" s="1">
        <f t="shared" ref="M137:U137" si="149">M135/M138</f>
        <v>-47.581518895062317</v>
      </c>
      <c r="N137" s="1">
        <f t="shared" si="149"/>
        <v>-48.522428278157086</v>
      </c>
      <c r="O137" s="1">
        <f t="shared" si="149"/>
        <v>-49.097277134507081</v>
      </c>
      <c r="P137" s="1">
        <f t="shared" si="149"/>
        <v>-49.448481207485919</v>
      </c>
      <c r="Q137" s="1">
        <f t="shared" si="149"/>
        <v>-49.663049436185396</v>
      </c>
      <c r="R137" s="1">
        <f t="shared" si="149"/>
        <v>-49.794139956795604</v>
      </c>
      <c r="S137" s="1">
        <f t="shared" si="149"/>
        <v>-49.874229747805273</v>
      </c>
      <c r="T137" s="1">
        <f t="shared" si="149"/>
        <v>-49.92316062849838</v>
      </c>
      <c r="U137" s="1">
        <f t="shared" si="149"/>
        <v>-49.953054964033754</v>
      </c>
    </row>
    <row r="138" spans="3:21" s="23" customFormat="1" outlineLevel="1">
      <c r="C138" s="23" t="s">
        <v>118</v>
      </c>
      <c r="F138" s="24">
        <f t="shared" ref="F138:H138" si="150">F135/F137</f>
        <v>-3.1341853035143772</v>
      </c>
      <c r="G138" s="24">
        <f t="shared" si="150"/>
        <v>-4.2491709042670802</v>
      </c>
      <c r="H138" s="24">
        <f t="shared" si="150"/>
        <v>-3.3514119229045276</v>
      </c>
      <c r="I138" s="24">
        <f>I135/I137</f>
        <v>-1.0912547528517109</v>
      </c>
      <c r="J138" s="24">
        <f>J135/J137</f>
        <v>-2.5703655935314256</v>
      </c>
      <c r="K138" s="25">
        <f>J138</f>
        <v>-2.5703655935314256</v>
      </c>
      <c r="L138" s="25">
        <f>K138</f>
        <v>-2.5703655935314256</v>
      </c>
      <c r="M138" s="25">
        <f t="shared" ref="M138:U138" si="151">L138</f>
        <v>-2.5703655935314256</v>
      </c>
      <c r="N138" s="25">
        <f t="shared" si="151"/>
        <v>-2.5703655935314256</v>
      </c>
      <c r="O138" s="25">
        <f t="shared" si="151"/>
        <v>-2.5703655935314256</v>
      </c>
      <c r="P138" s="25">
        <f t="shared" si="151"/>
        <v>-2.5703655935314256</v>
      </c>
      <c r="Q138" s="25">
        <f t="shared" si="151"/>
        <v>-2.5703655935314256</v>
      </c>
      <c r="R138" s="25">
        <f t="shared" si="151"/>
        <v>-2.5703655935314256</v>
      </c>
      <c r="S138" s="25">
        <f t="shared" si="151"/>
        <v>-2.5703655935314256</v>
      </c>
      <c r="T138" s="25">
        <f t="shared" si="151"/>
        <v>-2.5703655935314256</v>
      </c>
      <c r="U138" s="25">
        <f t="shared" si="151"/>
        <v>-2.5703655935314256</v>
      </c>
    </row>
    <row r="139" spans="3:21" outlineLevel="1">
      <c r="C139" s="1" t="s">
        <v>113</v>
      </c>
      <c r="F139" s="1">
        <f t="shared" ref="F139:I139" si="152">F135+F136+F137</f>
        <v>19.192000000000004</v>
      </c>
      <c r="G139" s="1">
        <f t="shared" si="152"/>
        <v>14.922000000000001</v>
      </c>
      <c r="H139" s="1">
        <f t="shared" si="152"/>
        <v>10.665000000000001</v>
      </c>
      <c r="I139" s="1">
        <f t="shared" si="152"/>
        <v>51.693999999999996</v>
      </c>
      <c r="J139" s="1">
        <f>J135+J136+J137</f>
        <v>94.775000000000006</v>
      </c>
      <c r="K139" s="1">
        <f>K135+K136+K137</f>
        <v>118.34334275127375</v>
      </c>
      <c r="L139" s="1">
        <f>L135+L136+L137</f>
        <v>122.30189905583359</v>
      </c>
      <c r="M139" s="1">
        <f t="shared" ref="M139:U139" si="153">M135+M136+M137</f>
        <v>124.72038016077127</v>
      </c>
      <c r="N139" s="1">
        <f t="shared" si="153"/>
        <v>126.19795188261418</v>
      </c>
      <c r="O139" s="1">
        <f t="shared" si="153"/>
        <v>127.1006747481071</v>
      </c>
      <c r="P139" s="1">
        <f t="shared" si="153"/>
        <v>127.6521935406212</v>
      </c>
      <c r="Q139" s="1">
        <f t="shared" si="153"/>
        <v>127.98914410443581</v>
      </c>
      <c r="R139" s="1">
        <f t="shared" si="153"/>
        <v>128.19500414764019</v>
      </c>
      <c r="S139" s="1">
        <f t="shared" si="153"/>
        <v>128.32077439983493</v>
      </c>
      <c r="T139" s="1">
        <f t="shared" si="153"/>
        <v>128.39761377133655</v>
      </c>
      <c r="U139" s="1">
        <f t="shared" si="153"/>
        <v>128.4445588073028</v>
      </c>
    </row>
    <row r="140" spans="3:21" outlineLevel="1">
      <c r="C140" s="1" t="s">
        <v>114</v>
      </c>
      <c r="F140" s="1">
        <f>F108</f>
        <v>19.219000000000001</v>
      </c>
      <c r="G140" s="1">
        <f>G108</f>
        <v>14.954000000000001</v>
      </c>
      <c r="H140" s="1">
        <f>H108</f>
        <v>10.619</v>
      </c>
      <c r="I140" s="1">
        <f>I108</f>
        <v>51.816000000000003</v>
      </c>
      <c r="J140" s="1">
        <f>J108</f>
        <v>111.864</v>
      </c>
      <c r="K140" s="1">
        <f>K139</f>
        <v>118.34334275127375</v>
      </c>
      <c r="L140" s="1">
        <f>L139</f>
        <v>122.30189905583359</v>
      </c>
      <c r="M140" s="1">
        <f t="shared" ref="M140:U140" si="154">M139</f>
        <v>124.72038016077127</v>
      </c>
      <c r="N140" s="1">
        <f t="shared" si="154"/>
        <v>126.19795188261418</v>
      </c>
      <c r="O140" s="1">
        <f t="shared" si="154"/>
        <v>127.1006747481071</v>
      </c>
      <c r="P140" s="1">
        <f t="shared" si="154"/>
        <v>127.6521935406212</v>
      </c>
      <c r="Q140" s="1">
        <f t="shared" si="154"/>
        <v>127.98914410443581</v>
      </c>
      <c r="R140" s="1">
        <f t="shared" si="154"/>
        <v>128.19500414764019</v>
      </c>
      <c r="S140" s="1">
        <f t="shared" si="154"/>
        <v>128.32077439983493</v>
      </c>
      <c r="T140" s="1">
        <f t="shared" si="154"/>
        <v>128.39761377133655</v>
      </c>
      <c r="U140" s="1">
        <f t="shared" si="154"/>
        <v>128.4445588073028</v>
      </c>
    </row>
    <row r="141" spans="3:21" s="26" customFormat="1" outlineLevel="1">
      <c r="C141" s="26" t="s">
        <v>115</v>
      </c>
      <c r="F141" s="26">
        <f t="shared" ref="F141:I141" si="155">F140-F139</f>
        <v>2.699999999999747E-2</v>
      </c>
      <c r="G141" s="26">
        <f t="shared" si="155"/>
        <v>3.2000000000000028E-2</v>
      </c>
      <c r="H141" s="26">
        <f t="shared" si="155"/>
        <v>-4.6000000000001151E-2</v>
      </c>
      <c r="I141" s="26">
        <f t="shared" si="155"/>
        <v>0.12200000000000699</v>
      </c>
      <c r="J141" s="26">
        <f>J140-J139</f>
        <v>17.088999999999999</v>
      </c>
    </row>
    <row r="143" spans="3:21" s="21" customFormat="1">
      <c r="C143" s="21" t="s">
        <v>119</v>
      </c>
    </row>
    <row r="144" spans="3:21" outlineLevel="1">
      <c r="C144" s="1" t="s">
        <v>107</v>
      </c>
      <c r="F144" s="2"/>
      <c r="J144" s="2">
        <v>3414.5810000000001</v>
      </c>
      <c r="K144" s="1">
        <f>J150</f>
        <v>4755.8389999999999</v>
      </c>
      <c r="L144" s="1">
        <f t="shared" ref="L144:U144" si="156">K150</f>
        <v>6613.1991666666663</v>
      </c>
      <c r="M144" s="1">
        <f t="shared" si="156"/>
        <v>7510.9993055555542</v>
      </c>
      <c r="N144" s="1">
        <f t="shared" si="156"/>
        <v>8259.1660879629617</v>
      </c>
      <c r="O144" s="1">
        <f t="shared" si="156"/>
        <v>8382.6384066358005</v>
      </c>
      <c r="P144" s="1">
        <f t="shared" si="156"/>
        <v>8485.5320055298344</v>
      </c>
      <c r="Q144" s="1">
        <f t="shared" si="156"/>
        <v>8571.2766712748617</v>
      </c>
      <c r="R144" s="1">
        <f t="shared" si="156"/>
        <v>8642.7305593957171</v>
      </c>
      <c r="S144" s="1">
        <f t="shared" si="156"/>
        <v>8202.275466163097</v>
      </c>
      <c r="T144" s="1">
        <f t="shared" si="156"/>
        <v>7835.2295551359139</v>
      </c>
      <c r="U144" s="1">
        <f t="shared" si="156"/>
        <v>7529.3579626132605</v>
      </c>
    </row>
    <row r="145" spans="2:31" outlineLevel="1">
      <c r="C145" s="1" t="s">
        <v>120</v>
      </c>
      <c r="J145" s="2">
        <v>2010.672</v>
      </c>
      <c r="K145" s="1">
        <f>K146*K285</f>
        <v>2650</v>
      </c>
      <c r="L145" s="1">
        <f t="shared" ref="L145:U145" si="157">L146*L285</f>
        <v>2000</v>
      </c>
      <c r="M145" s="1">
        <f t="shared" si="157"/>
        <v>2000</v>
      </c>
      <c r="N145" s="1">
        <f t="shared" si="157"/>
        <v>1500</v>
      </c>
      <c r="O145" s="1">
        <f t="shared" si="157"/>
        <v>1500</v>
      </c>
      <c r="P145" s="1">
        <f t="shared" si="157"/>
        <v>1500</v>
      </c>
      <c r="Q145" s="1">
        <f t="shared" si="157"/>
        <v>1500</v>
      </c>
      <c r="R145" s="1">
        <f t="shared" si="157"/>
        <v>1000</v>
      </c>
      <c r="S145" s="1">
        <f t="shared" si="157"/>
        <v>1000</v>
      </c>
      <c r="T145" s="1">
        <f t="shared" si="157"/>
        <v>1000</v>
      </c>
      <c r="U145" s="1">
        <f t="shared" si="157"/>
        <v>1000</v>
      </c>
    </row>
    <row r="146" spans="2:31" s="10" customFormat="1" outlineLevel="1">
      <c r="D146" s="10" t="s">
        <v>121</v>
      </c>
      <c r="J146" s="15">
        <f>J145/J285</f>
        <v>6.6578543046357614</v>
      </c>
      <c r="K146" s="16">
        <v>5</v>
      </c>
      <c r="L146" s="16">
        <f t="shared" ref="L146:U146" si="158">K146</f>
        <v>5</v>
      </c>
      <c r="M146" s="16">
        <f t="shared" si="158"/>
        <v>5</v>
      </c>
      <c r="N146" s="16">
        <f t="shared" si="158"/>
        <v>5</v>
      </c>
      <c r="O146" s="16">
        <f t="shared" si="158"/>
        <v>5</v>
      </c>
      <c r="P146" s="16">
        <f t="shared" si="158"/>
        <v>5</v>
      </c>
      <c r="Q146" s="16">
        <f t="shared" si="158"/>
        <v>5</v>
      </c>
      <c r="R146" s="16">
        <f t="shared" si="158"/>
        <v>5</v>
      </c>
      <c r="S146" s="16">
        <f t="shared" si="158"/>
        <v>5</v>
      </c>
      <c r="T146" s="16">
        <f t="shared" si="158"/>
        <v>5</v>
      </c>
      <c r="U146" s="16">
        <f t="shared" si="158"/>
        <v>5</v>
      </c>
    </row>
    <row r="147" spans="2:31" outlineLevel="1">
      <c r="C147" s="1" t="s">
        <v>52</v>
      </c>
      <c r="F147" s="22"/>
      <c r="G147" s="22"/>
      <c r="H147" s="22"/>
      <c r="I147" s="22"/>
      <c r="J147" s="22">
        <f>-J215</f>
        <v>-638.048</v>
      </c>
      <c r="K147" s="1">
        <f>K144/K148</f>
        <v>-792.63983333333329</v>
      </c>
      <c r="L147" s="1">
        <f t="shared" ref="L147:U147" si="159">L144/L148</f>
        <v>-1102.199861111111</v>
      </c>
      <c r="M147" s="1">
        <f t="shared" si="159"/>
        <v>-1251.8332175925923</v>
      </c>
      <c r="N147" s="1">
        <f t="shared" si="159"/>
        <v>-1376.5276813271603</v>
      </c>
      <c r="O147" s="1">
        <f t="shared" si="159"/>
        <v>-1397.1064011059668</v>
      </c>
      <c r="P147" s="1">
        <f t="shared" si="159"/>
        <v>-1414.2553342549725</v>
      </c>
      <c r="Q147" s="1">
        <f t="shared" si="159"/>
        <v>-1428.5461118791436</v>
      </c>
      <c r="R147" s="1">
        <f t="shared" si="159"/>
        <v>-1440.4550932326194</v>
      </c>
      <c r="S147" s="1">
        <f t="shared" si="159"/>
        <v>-1367.0459110271829</v>
      </c>
      <c r="T147" s="1">
        <f t="shared" si="159"/>
        <v>-1305.8715925226522</v>
      </c>
      <c r="U147" s="1">
        <f t="shared" si="159"/>
        <v>-1254.8929937688767</v>
      </c>
    </row>
    <row r="148" spans="2:31" s="23" customFormat="1" outlineLevel="1">
      <c r="C148" s="23" t="s">
        <v>118</v>
      </c>
      <c r="F148" s="24"/>
      <c r="G148" s="24"/>
      <c r="H148" s="24"/>
      <c r="I148" s="24"/>
      <c r="J148" s="24">
        <f>J144/J147</f>
        <v>-5.3516052083855765</v>
      </c>
      <c r="K148" s="25">
        <v>-6</v>
      </c>
      <c r="L148" s="25">
        <f t="shared" ref="L148:U148" si="160">K148</f>
        <v>-6</v>
      </c>
      <c r="M148" s="25">
        <f t="shared" si="160"/>
        <v>-6</v>
      </c>
      <c r="N148" s="25">
        <f t="shared" si="160"/>
        <v>-6</v>
      </c>
      <c r="O148" s="25">
        <f t="shared" si="160"/>
        <v>-6</v>
      </c>
      <c r="P148" s="25">
        <f t="shared" si="160"/>
        <v>-6</v>
      </c>
      <c r="Q148" s="25">
        <f t="shared" si="160"/>
        <v>-6</v>
      </c>
      <c r="R148" s="25">
        <f t="shared" si="160"/>
        <v>-6</v>
      </c>
      <c r="S148" s="25">
        <f t="shared" si="160"/>
        <v>-6</v>
      </c>
      <c r="T148" s="25">
        <f t="shared" si="160"/>
        <v>-6</v>
      </c>
      <c r="U148" s="25">
        <f t="shared" si="160"/>
        <v>-6</v>
      </c>
    </row>
    <row r="149" spans="2:31" outlineLevel="1">
      <c r="C149" s="1" t="s">
        <v>113</v>
      </c>
      <c r="J149" s="1">
        <f>J144+J145+J147</f>
        <v>4787.2050000000008</v>
      </c>
      <c r="K149" s="1">
        <f>K144+K145+K147</f>
        <v>6613.1991666666663</v>
      </c>
      <c r="L149" s="1">
        <f t="shared" ref="L149:U149" si="161">L144+L145+L147</f>
        <v>7510.9993055555542</v>
      </c>
      <c r="M149" s="1">
        <f t="shared" si="161"/>
        <v>8259.1660879629617</v>
      </c>
      <c r="N149" s="1">
        <f t="shared" si="161"/>
        <v>8382.6384066358005</v>
      </c>
      <c r="O149" s="1">
        <f t="shared" si="161"/>
        <v>8485.5320055298344</v>
      </c>
      <c r="P149" s="1">
        <f t="shared" si="161"/>
        <v>8571.2766712748617</v>
      </c>
      <c r="Q149" s="1">
        <f t="shared" si="161"/>
        <v>8642.7305593957171</v>
      </c>
      <c r="R149" s="1">
        <f t="shared" si="161"/>
        <v>8202.275466163097</v>
      </c>
      <c r="S149" s="1">
        <f t="shared" si="161"/>
        <v>7835.2295551359139</v>
      </c>
      <c r="T149" s="1">
        <f t="shared" si="161"/>
        <v>7529.3579626132605</v>
      </c>
      <c r="U149" s="1">
        <f t="shared" si="161"/>
        <v>7274.4649688443824</v>
      </c>
    </row>
    <row r="150" spans="2:31" outlineLevel="1">
      <c r="C150" s="1" t="s">
        <v>114</v>
      </c>
      <c r="F150" s="1">
        <f>F106</f>
        <v>0</v>
      </c>
      <c r="G150" s="1">
        <f>G106</f>
        <v>0</v>
      </c>
      <c r="H150" s="1">
        <f>H106</f>
        <v>0</v>
      </c>
      <c r="I150" s="1">
        <f>I106</f>
        <v>0</v>
      </c>
      <c r="J150" s="1">
        <f>J106</f>
        <v>4755.8389999999999</v>
      </c>
      <c r="K150" s="1">
        <f>K149</f>
        <v>6613.1991666666663</v>
      </c>
      <c r="L150" s="1">
        <f t="shared" ref="L150:U150" si="162">L149</f>
        <v>7510.9993055555542</v>
      </c>
      <c r="M150" s="1">
        <f t="shared" si="162"/>
        <v>8259.1660879629617</v>
      </c>
      <c r="N150" s="1">
        <f t="shared" si="162"/>
        <v>8382.6384066358005</v>
      </c>
      <c r="O150" s="1">
        <f t="shared" si="162"/>
        <v>8485.5320055298344</v>
      </c>
      <c r="P150" s="1">
        <f t="shared" si="162"/>
        <v>8571.2766712748617</v>
      </c>
      <c r="Q150" s="1">
        <f t="shared" si="162"/>
        <v>8642.7305593957171</v>
      </c>
      <c r="R150" s="1">
        <f t="shared" si="162"/>
        <v>8202.275466163097</v>
      </c>
      <c r="S150" s="1">
        <f t="shared" si="162"/>
        <v>7835.2295551359139</v>
      </c>
      <c r="T150" s="1">
        <f t="shared" si="162"/>
        <v>7529.3579626132605</v>
      </c>
      <c r="U150" s="1">
        <f t="shared" si="162"/>
        <v>7274.4649688443824</v>
      </c>
    </row>
    <row r="151" spans="2:31" s="26" customFormat="1" outlineLevel="1">
      <c r="C151" s="26" t="s">
        <v>115</v>
      </c>
      <c r="J151" s="26">
        <f>J150-J149</f>
        <v>-31.366000000000895</v>
      </c>
    </row>
    <row r="153" spans="2:31" s="21" customFormat="1">
      <c r="C153" s="21" t="s">
        <v>122</v>
      </c>
      <c r="F153" s="21">
        <f t="shared" ref="F153:I153" si="163">F177+F184</f>
        <v>0</v>
      </c>
      <c r="G153" s="21">
        <f t="shared" si="163"/>
        <v>0</v>
      </c>
      <c r="H153" s="21">
        <f t="shared" si="163"/>
        <v>0</v>
      </c>
      <c r="I153" s="21">
        <f t="shared" si="163"/>
        <v>0</v>
      </c>
      <c r="J153" s="21">
        <f>J177+J184</f>
        <v>4876.1630000000005</v>
      </c>
      <c r="K153" s="21">
        <f>K154*K150</f>
        <v>6613.1991666666663</v>
      </c>
      <c r="L153" s="21">
        <f t="shared" ref="L153:U153" si="164">L154*L150</f>
        <v>7510.9993055555542</v>
      </c>
      <c r="M153" s="21">
        <f t="shared" si="164"/>
        <v>8259.1660879629617</v>
      </c>
      <c r="N153" s="21">
        <f t="shared" si="164"/>
        <v>8382.6384066358005</v>
      </c>
      <c r="O153" s="21">
        <f t="shared" si="164"/>
        <v>8485.5320055298344</v>
      </c>
      <c r="P153" s="21">
        <f t="shared" si="164"/>
        <v>8571.2766712748617</v>
      </c>
      <c r="Q153" s="21">
        <f t="shared" si="164"/>
        <v>8642.7305593957171</v>
      </c>
      <c r="R153" s="21">
        <f t="shared" si="164"/>
        <v>8202.275466163097</v>
      </c>
      <c r="S153" s="21">
        <f t="shared" si="164"/>
        <v>7835.2295551359139</v>
      </c>
      <c r="T153" s="21">
        <f t="shared" si="164"/>
        <v>7529.3579626132605</v>
      </c>
      <c r="U153" s="21">
        <f t="shared" si="164"/>
        <v>7274.4649688443824</v>
      </c>
    </row>
    <row r="154" spans="2:31" s="8" customFormat="1">
      <c r="D154" s="8" t="s">
        <v>123</v>
      </c>
      <c r="J154" s="8">
        <f>J153/J150</f>
        <v>1.0253002677340424</v>
      </c>
      <c r="K154" s="9">
        <v>1</v>
      </c>
      <c r="L154" s="9">
        <v>1</v>
      </c>
      <c r="M154" s="9">
        <v>1</v>
      </c>
      <c r="N154" s="9">
        <v>1</v>
      </c>
      <c r="O154" s="9">
        <v>1</v>
      </c>
      <c r="P154" s="9">
        <v>1</v>
      </c>
      <c r="Q154" s="9">
        <v>1</v>
      </c>
      <c r="R154" s="9">
        <v>1</v>
      </c>
      <c r="S154" s="9">
        <v>1</v>
      </c>
      <c r="T154" s="9">
        <v>1</v>
      </c>
      <c r="U154" s="9">
        <v>1</v>
      </c>
    </row>
    <row r="156" spans="2:31" s="6" customFormat="1">
      <c r="B156" s="6" t="s">
        <v>124</v>
      </c>
      <c r="F156" s="6">
        <f t="shared" ref="F156:H156" si="165">F158+F159+F160+F161+F162+F163+F164+F165</f>
        <v>1184.0619999999999</v>
      </c>
      <c r="G156" s="6">
        <f t="shared" si="165"/>
        <v>1256.6749999999997</v>
      </c>
      <c r="H156" s="6">
        <f t="shared" si="165"/>
        <v>1461.6939999999997</v>
      </c>
      <c r="I156" s="6">
        <f>I158+I159+I160+I161+I162+I163+I164+I165</f>
        <v>5735.9859999999999</v>
      </c>
      <c r="J156" s="6">
        <f>J158+J159+J160+J161+J162+J163+J164+J165</f>
        <v>7200.2909999999993</v>
      </c>
      <c r="K156" s="6">
        <f>K158+K159+K160+K161+K162+K163+K164+K165</f>
        <v>6593.2560000000003</v>
      </c>
      <c r="X156" s="6">
        <f t="shared" ref="X156" si="166">X158+X159+X160+X161+X162+X163+X164+X165</f>
        <v>0</v>
      </c>
      <c r="Y156" s="6">
        <f>Y158+Y159+Y160+Y161+Y162+Y163+Y164+Y165</f>
        <v>1461.6939999999997</v>
      </c>
      <c r="Z156" s="6">
        <f>Z158+Z159+Z160+Z161+Z162+Z163+Z164+Z165</f>
        <v>1482.46</v>
      </c>
      <c r="AA156" s="6">
        <f>AA158+AA159+AA160+AA161+AA162+AA163+AA164+AA165</f>
        <v>5735.9859999999999</v>
      </c>
      <c r="AB156" s="6">
        <f>AB158+AB159+AB160+AB161+AB162+AB163+AB164+AB165</f>
        <v>6887.9570000000003</v>
      </c>
      <c r="AC156" s="6">
        <f>AC158+AC159+AC160+AC161+AC162+AC163+AC164+AC165</f>
        <v>7200.2909999999993</v>
      </c>
      <c r="AD156" s="6">
        <f t="shared" ref="AD156" si="167">AD158+AD159+AD160+AD161+AD162+AD163+AD164+AD165</f>
        <v>7446.8329999999996</v>
      </c>
      <c r="AE156" s="6">
        <f>AE158+AE159+AE160+AE161+AE162+AE163+AE164+AE165</f>
        <v>6593.2560000000003</v>
      </c>
    </row>
    <row r="158" spans="2:31">
      <c r="C158" s="20" t="s">
        <v>125</v>
      </c>
      <c r="F158" s="2">
        <v>41.064999999999998</v>
      </c>
      <c r="G158" s="2">
        <v>49.707000000000001</v>
      </c>
      <c r="H158" s="2">
        <v>95.117999999999995</v>
      </c>
      <c r="I158" s="2">
        <v>457.12400000000002</v>
      </c>
      <c r="J158" s="2">
        <v>1199.6659999999999</v>
      </c>
      <c r="K158" s="2">
        <v>1154.2149999999999</v>
      </c>
      <c r="X158" s="2"/>
      <c r="Y158" s="2">
        <v>95.117999999999995</v>
      </c>
      <c r="Z158" s="2">
        <v>325.43900000000002</v>
      </c>
      <c r="AA158" s="2">
        <v>457.12400000000002</v>
      </c>
      <c r="AB158" s="2">
        <v>458.13799999999998</v>
      </c>
      <c r="AC158" s="2">
        <v>1199.6659999999999</v>
      </c>
      <c r="AD158" s="2">
        <v>907.90800000000002</v>
      </c>
      <c r="AE158" s="2">
        <v>1154.2149999999999</v>
      </c>
    </row>
    <row r="159" spans="2:31">
      <c r="C159" s="20" t="s">
        <v>126</v>
      </c>
      <c r="F159" s="2">
        <v>175.47300000000001</v>
      </c>
      <c r="G159" s="2">
        <v>246.678</v>
      </c>
      <c r="H159" s="2">
        <v>497.61599999999999</v>
      </c>
      <c r="I159" s="2">
        <v>845.11800000000005</v>
      </c>
      <c r="J159" s="2">
        <v>1615.5509999999999</v>
      </c>
      <c r="K159" s="2">
        <v>2205.415</v>
      </c>
      <c r="X159" s="2"/>
      <c r="Y159" s="2">
        <v>497.61599999999999</v>
      </c>
      <c r="Z159" s="2">
        <v>568.53800000000001</v>
      </c>
      <c r="AA159" s="2">
        <v>845.11800000000005</v>
      </c>
      <c r="AB159" s="2">
        <v>1353.2529999999999</v>
      </c>
      <c r="AC159" s="2">
        <v>1615.5509999999999</v>
      </c>
      <c r="AD159" s="2">
        <v>1603.4110000000001</v>
      </c>
      <c r="AE159" s="2">
        <v>2205.415</v>
      </c>
    </row>
    <row r="160" spans="2:31">
      <c r="C160" s="20" t="s">
        <v>127</v>
      </c>
      <c r="F160" s="2">
        <v>748.33600000000001</v>
      </c>
      <c r="G160" s="2">
        <v>502.24200000000002</v>
      </c>
      <c r="H160" s="2">
        <v>444.21300000000002</v>
      </c>
      <c r="I160" s="2">
        <v>201.261</v>
      </c>
      <c r="J160" s="2">
        <v>300.97300000000001</v>
      </c>
      <c r="K160" s="2">
        <v>267.70800000000003</v>
      </c>
      <c r="X160" s="2"/>
      <c r="Y160" s="2">
        <v>444.21300000000002</v>
      </c>
      <c r="Z160" s="2">
        <v>43.558999999999997</v>
      </c>
      <c r="AA160" s="2">
        <v>201.261</v>
      </c>
      <c r="AB160" s="2">
        <v>250.92500000000001</v>
      </c>
      <c r="AC160" s="2">
        <v>300.97300000000001</v>
      </c>
      <c r="AD160" s="2">
        <v>253.57499999999999</v>
      </c>
      <c r="AE160" s="2">
        <v>267.70800000000003</v>
      </c>
    </row>
    <row r="161" spans="2:31">
      <c r="C161" s="1" t="s">
        <v>98</v>
      </c>
      <c r="F161" s="2">
        <v>52.954000000000001</v>
      </c>
      <c r="G161" s="2">
        <v>7.3230000000000004</v>
      </c>
      <c r="H161" s="2">
        <v>78.856999999999999</v>
      </c>
      <c r="I161" s="2">
        <v>1.653</v>
      </c>
      <c r="J161" s="2">
        <v>0</v>
      </c>
      <c r="K161" s="2">
        <v>4</v>
      </c>
      <c r="X161" s="2"/>
      <c r="Y161" s="2">
        <v>78.856999999999999</v>
      </c>
      <c r="Z161" s="2">
        <v>12.673999999999999</v>
      </c>
      <c r="AA161" s="2">
        <v>1.653</v>
      </c>
      <c r="AB161" s="2">
        <v>22.023</v>
      </c>
      <c r="AC161" s="2">
        <v>0</v>
      </c>
      <c r="AD161" s="2">
        <v>1301.855</v>
      </c>
      <c r="AE161" s="2">
        <v>4</v>
      </c>
    </row>
    <row r="162" spans="2:31">
      <c r="C162" s="1" t="s">
        <v>102</v>
      </c>
      <c r="F162" s="2">
        <v>0</v>
      </c>
      <c r="G162" s="2">
        <v>0</v>
      </c>
      <c r="H162" s="2">
        <v>0</v>
      </c>
      <c r="I162" s="2">
        <v>103.381</v>
      </c>
      <c r="J162" s="2">
        <v>1804.0350000000001</v>
      </c>
      <c r="K162" s="2">
        <v>0</v>
      </c>
      <c r="X162" s="2"/>
      <c r="Y162" s="2">
        <v>0</v>
      </c>
      <c r="Z162" s="2">
        <v>0</v>
      </c>
      <c r="AA162" s="2">
        <v>103.381</v>
      </c>
      <c r="AB162" s="2">
        <v>1752.0730000000001</v>
      </c>
      <c r="AC162" s="2">
        <v>1804.0350000000001</v>
      </c>
      <c r="AD162" s="2">
        <v>1107.6869999999999</v>
      </c>
      <c r="AE162" s="2">
        <v>0</v>
      </c>
    </row>
    <row r="163" spans="2:31">
      <c r="C163" s="1" t="s">
        <v>100</v>
      </c>
      <c r="F163" s="2">
        <v>7</v>
      </c>
      <c r="G163" s="2">
        <v>7.6360000000000001</v>
      </c>
      <c r="H163" s="2">
        <v>16.201000000000001</v>
      </c>
      <c r="I163" s="2">
        <v>0.80700000000000005</v>
      </c>
      <c r="J163" s="2">
        <v>0</v>
      </c>
      <c r="K163" s="2">
        <v>23.259</v>
      </c>
      <c r="X163" s="2"/>
      <c r="Y163" s="2">
        <v>16.201000000000001</v>
      </c>
      <c r="Z163" s="2">
        <v>0</v>
      </c>
      <c r="AA163" s="2">
        <v>0.80700000000000005</v>
      </c>
      <c r="AB163" s="2">
        <v>0</v>
      </c>
      <c r="AC163" s="2">
        <v>0</v>
      </c>
      <c r="AD163" s="2">
        <v>2</v>
      </c>
      <c r="AE163" s="2">
        <v>23.259</v>
      </c>
    </row>
    <row r="164" spans="2:31">
      <c r="C164" s="1" t="s">
        <v>128</v>
      </c>
      <c r="F164" s="2">
        <v>1.639</v>
      </c>
      <c r="G164" s="2">
        <v>36.213000000000001</v>
      </c>
      <c r="H164" s="2">
        <v>47.656999999999996</v>
      </c>
      <c r="I164" s="2">
        <v>8.0190000000000001</v>
      </c>
      <c r="J164" s="2">
        <v>58.103999999999999</v>
      </c>
      <c r="K164" s="2">
        <v>17.791</v>
      </c>
      <c r="X164" s="2"/>
      <c r="Y164" s="2">
        <v>47.656999999999996</v>
      </c>
      <c r="Z164" s="2">
        <v>1.147</v>
      </c>
      <c r="AA164" s="2">
        <v>8.0190000000000001</v>
      </c>
      <c r="AB164" s="2">
        <v>48.841000000000001</v>
      </c>
      <c r="AC164" s="2">
        <v>58.103999999999999</v>
      </c>
      <c r="AD164" s="2">
        <v>22.736999999999998</v>
      </c>
      <c r="AE164" s="2">
        <v>17.791</v>
      </c>
    </row>
    <row r="165" spans="2:31">
      <c r="C165" s="1" t="s">
        <v>129</v>
      </c>
      <c r="F165" s="2">
        <v>157.595</v>
      </c>
      <c r="G165" s="2">
        <v>406.87599999999998</v>
      </c>
      <c r="H165" s="2">
        <v>282.03199999999998</v>
      </c>
      <c r="I165" s="2">
        <v>4118.6229999999996</v>
      </c>
      <c r="J165" s="2">
        <v>2221.962</v>
      </c>
      <c r="K165" s="2">
        <v>2920.8679999999999</v>
      </c>
      <c r="X165" s="2"/>
      <c r="Y165" s="2">
        <v>282.03199999999998</v>
      </c>
      <c r="Z165" s="2">
        <v>531.10299999999995</v>
      </c>
      <c r="AA165" s="2">
        <v>4118.6229999999996</v>
      </c>
      <c r="AB165" s="2">
        <v>3002.7040000000002</v>
      </c>
      <c r="AC165" s="2">
        <v>2221.962</v>
      </c>
      <c r="AD165" s="2">
        <v>2247.66</v>
      </c>
      <c r="AE165" s="2">
        <v>2920.8679999999999</v>
      </c>
    </row>
    <row r="167" spans="2:31" s="6" customFormat="1">
      <c r="B167" s="6" t="s">
        <v>130</v>
      </c>
      <c r="F167" s="6">
        <f t="shared" ref="F167:K167" si="168">F103+F156</f>
        <v>2406.6179999999999</v>
      </c>
      <c r="G167" s="6">
        <f t="shared" si="168"/>
        <v>2749.5229999999992</v>
      </c>
      <c r="H167" s="6">
        <f t="shared" si="168"/>
        <v>3735.8249999999998</v>
      </c>
      <c r="I167" s="6">
        <f t="shared" si="168"/>
        <v>11944.643</v>
      </c>
      <c r="J167" s="6">
        <f t="shared" si="168"/>
        <v>20613.932000000001</v>
      </c>
      <c r="K167" s="6">
        <f t="shared" si="168"/>
        <v>27527.144000000004</v>
      </c>
      <c r="X167" s="6">
        <f t="shared" ref="X167:AD167" si="169">X103+X156</f>
        <v>0</v>
      </c>
      <c r="Y167" s="6">
        <f t="shared" si="169"/>
        <v>3735.8249999999998</v>
      </c>
      <c r="Z167" s="6">
        <f t="shared" si="169"/>
        <v>4528.5310000000009</v>
      </c>
      <c r="AA167" s="6">
        <f t="shared" si="169"/>
        <v>11944.643</v>
      </c>
      <c r="AB167" s="6">
        <f t="shared" si="169"/>
        <v>16924.002</v>
      </c>
      <c r="AC167" s="6">
        <f t="shared" si="169"/>
        <v>20613.932000000001</v>
      </c>
      <c r="AD167" s="6">
        <f t="shared" si="169"/>
        <v>23036.42</v>
      </c>
      <c r="AE167" s="6">
        <f>AE103+AE156</f>
        <v>27527.144000000004</v>
      </c>
    </row>
    <row r="169" spans="2:31" s="6" customFormat="1">
      <c r="B169" s="6" t="s">
        <v>131</v>
      </c>
      <c r="F169" s="6">
        <f t="shared" ref="F169:I169" si="170">F171+F172+F173+F174+F175+F176+F177+F178</f>
        <v>1244.4189999999999</v>
      </c>
      <c r="G169" s="6">
        <f t="shared" si="170"/>
        <v>1642.318</v>
      </c>
      <c r="H169" s="6">
        <f t="shared" si="170"/>
        <v>2618.1370000000002</v>
      </c>
      <c r="I169" s="6">
        <f t="shared" si="170"/>
        <v>3305.9880000000003</v>
      </c>
      <c r="J169" s="6">
        <f>J171+J172+J173+J174+J175+J176+J177+J178</f>
        <v>5664.0709999999999</v>
      </c>
      <c r="K169" s="6">
        <f>K171+K172+K173+K174+K175+K176+K177+K178</f>
        <v>9867.9429999999993</v>
      </c>
      <c r="X169" s="6">
        <f t="shared" ref="X169:AA169" si="171">X171+X172+X173+X174+X175+X176+X177+X178</f>
        <v>0</v>
      </c>
      <c r="Y169" s="6">
        <f>Y171+Y172+Y173+Y174+Y175+Y176+Y177+Y178</f>
        <v>2618.1370000000002</v>
      </c>
      <c r="Z169" s="6">
        <f t="shared" si="171"/>
        <v>3314.5149999999999</v>
      </c>
      <c r="AA169" s="6">
        <f t="shared" si="171"/>
        <v>3305.9880000000003</v>
      </c>
      <c r="AB169" s="6">
        <f>AB171+AB172+AB173+AB174+AB175+AB176+AB177+AB178</f>
        <v>3923.4640000000004</v>
      </c>
      <c r="AC169" s="6">
        <f>AC171+AC172+AC173+AC174+AC175+AC176+AC177+AC178</f>
        <v>5664.0709999999999</v>
      </c>
      <c r="AD169" s="6">
        <f t="shared" ref="AD169" si="172">AD171+AD172+AD173+AD174+AD175+AD176+AD177+AD178</f>
        <v>8546.5639999999985</v>
      </c>
      <c r="AE169" s="6">
        <f>AE171+AE172+AE173+AE174+AE175+AE176+AE177+AE178</f>
        <v>9867.9429999999993</v>
      </c>
    </row>
    <row r="171" spans="2:31">
      <c r="C171" s="20" t="s">
        <v>132</v>
      </c>
      <c r="F171" s="2">
        <v>100.27200000000001</v>
      </c>
      <c r="G171" s="2">
        <v>119.768</v>
      </c>
      <c r="H171" s="2">
        <v>168.71899999999999</v>
      </c>
      <c r="I171" s="2">
        <v>729.32799999999997</v>
      </c>
      <c r="J171" s="2">
        <v>1406.4079999999999</v>
      </c>
      <c r="K171" s="2">
        <v>1582.5709999999999</v>
      </c>
      <c r="X171" s="2"/>
      <c r="Y171" s="2">
        <v>168.71899999999999</v>
      </c>
      <c r="Z171" s="2">
        <v>411.56200000000001</v>
      </c>
      <c r="AA171" s="2">
        <v>729.32799999999997</v>
      </c>
      <c r="AB171" s="2">
        <v>909.822</v>
      </c>
      <c r="AC171" s="2">
        <v>1406.4079999999999</v>
      </c>
      <c r="AD171" s="2">
        <v>1206.818</v>
      </c>
      <c r="AE171" s="2">
        <v>1582.5709999999999</v>
      </c>
    </row>
    <row r="172" spans="2:31">
      <c r="C172" s="20" t="s">
        <v>133</v>
      </c>
      <c r="F172" s="2">
        <v>284.74299999999999</v>
      </c>
      <c r="G172" s="2">
        <v>363.97899999999998</v>
      </c>
      <c r="H172" s="2">
        <v>510.73500000000001</v>
      </c>
      <c r="I172" s="2">
        <v>906.46400000000006</v>
      </c>
      <c r="J172" s="2">
        <f>300+1276.989</f>
        <v>1576.989</v>
      </c>
      <c r="K172" s="2">
        <f>23.982+2224.784</f>
        <v>2248.7660000000001</v>
      </c>
      <c r="X172" s="2"/>
      <c r="Y172" s="2">
        <v>510.73500000000001</v>
      </c>
      <c r="Z172" s="2">
        <v>589.66499999999996</v>
      </c>
      <c r="AA172" s="2">
        <v>906.46400000000006</v>
      </c>
      <c r="AB172" s="2">
        <v>1208.489</v>
      </c>
      <c r="AC172" s="2">
        <f>300+1276.989</f>
        <v>1576.989</v>
      </c>
      <c r="AD172" s="2">
        <f>111.808+1633.912</f>
        <v>1745.72</v>
      </c>
      <c r="AE172" s="2">
        <f>23.982+2224.784</f>
        <v>2248.7660000000001</v>
      </c>
    </row>
    <row r="173" spans="2:31">
      <c r="C173" s="20" t="s">
        <v>134</v>
      </c>
      <c r="F173" s="2">
        <v>154.31899999999999</v>
      </c>
      <c r="G173" s="2">
        <v>212.505</v>
      </c>
      <c r="H173" s="2">
        <v>1202.588</v>
      </c>
      <c r="I173" s="2">
        <v>592.66300000000001</v>
      </c>
      <c r="J173" s="2">
        <v>1071.8050000000001</v>
      </c>
      <c r="K173" s="2">
        <v>387.072</v>
      </c>
      <c r="X173" s="2"/>
      <c r="Y173" s="2">
        <v>1202.588</v>
      </c>
      <c r="Z173" s="2">
        <v>651.18499999999995</v>
      </c>
      <c r="AA173" s="2">
        <v>592.66300000000001</v>
      </c>
      <c r="AB173" s="2">
        <v>370.48399999999998</v>
      </c>
      <c r="AC173" s="2">
        <v>1071.8050000000001</v>
      </c>
      <c r="AD173" s="2">
        <v>1119.067</v>
      </c>
      <c r="AE173" s="2">
        <v>387.072</v>
      </c>
    </row>
    <row r="174" spans="2:31">
      <c r="C174" s="1" t="s">
        <v>135</v>
      </c>
      <c r="F174" s="2">
        <v>0</v>
      </c>
      <c r="G174" s="2">
        <v>0</v>
      </c>
      <c r="H174" s="2">
        <v>0</v>
      </c>
      <c r="I174" s="2">
        <v>128.416</v>
      </c>
      <c r="J174" s="2">
        <v>3.8050000000000002</v>
      </c>
      <c r="K174" s="2">
        <v>3.8050000000000002</v>
      </c>
      <c r="X174" s="2"/>
      <c r="Y174" s="2">
        <v>0</v>
      </c>
      <c r="Z174" s="2">
        <v>128.416</v>
      </c>
      <c r="AA174" s="2">
        <v>128.416</v>
      </c>
      <c r="AB174" s="2">
        <v>0</v>
      </c>
      <c r="AC174" s="2">
        <v>3.8050000000000002</v>
      </c>
      <c r="AD174" s="2">
        <v>3.8050000000000002</v>
      </c>
      <c r="AE174" s="2">
        <v>3.8050000000000002</v>
      </c>
    </row>
    <row r="175" spans="2:31">
      <c r="C175" s="20" t="s">
        <v>136</v>
      </c>
      <c r="F175" s="2">
        <v>45.49</v>
      </c>
      <c r="G175" s="2">
        <v>105.366</v>
      </c>
      <c r="H175" s="2">
        <v>79.751999999999995</v>
      </c>
      <c r="I175" s="2">
        <v>160.72399999999999</v>
      </c>
      <c r="J175" s="2">
        <v>224.30099999999999</v>
      </c>
      <c r="K175" s="2">
        <v>201.41200000000001</v>
      </c>
      <c r="X175" s="2"/>
      <c r="Y175" s="2">
        <v>79.751999999999995</v>
      </c>
      <c r="Z175" s="2">
        <v>67.02</v>
      </c>
      <c r="AA175" s="2">
        <v>160.72399999999999</v>
      </c>
      <c r="AB175" s="2">
        <v>114.532</v>
      </c>
      <c r="AC175" s="2">
        <v>224.30099999999999</v>
      </c>
      <c r="AD175" s="2">
        <v>38.994999999999997</v>
      </c>
      <c r="AE175" s="2">
        <v>201.41200000000001</v>
      </c>
    </row>
    <row r="176" spans="2:31">
      <c r="C176" s="1" t="s">
        <v>137</v>
      </c>
      <c r="F176" s="2">
        <v>414.39100000000002</v>
      </c>
      <c r="G176" s="2">
        <v>567.45100000000002</v>
      </c>
      <c r="H176" s="2">
        <v>347.76400000000001</v>
      </c>
      <c r="I176" s="2">
        <v>410.35399999999998</v>
      </c>
      <c r="J176" s="2">
        <f>122.174+22.602</f>
        <v>144.77600000000001</v>
      </c>
      <c r="K176" s="2">
        <f>3721.208+22.936</f>
        <v>3744.1440000000002</v>
      </c>
      <c r="L176" s="3">
        <v>32.695</v>
      </c>
      <c r="M176" s="3">
        <v>259.27600000000001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X176" s="2"/>
      <c r="Y176" s="2">
        <v>347.76400000000001</v>
      </c>
      <c r="Z176" s="2">
        <v>1094.241</v>
      </c>
      <c r="AA176" s="2">
        <v>410.35399999999998</v>
      </c>
      <c r="AB176" s="2">
        <f>423.599+10.131</f>
        <v>433.73</v>
      </c>
      <c r="AC176" s="2">
        <f>122.174+22.602</f>
        <v>144.77600000000001</v>
      </c>
      <c r="AD176" s="2">
        <f>3013.212+22.602</f>
        <v>3035.8139999999999</v>
      </c>
      <c r="AE176" s="2">
        <f>3721.208+22.936</f>
        <v>3744.1440000000002</v>
      </c>
    </row>
    <row r="177" spans="2:31">
      <c r="C177" s="1" t="s">
        <v>138</v>
      </c>
      <c r="F177" s="2">
        <v>0</v>
      </c>
      <c r="G177" s="2">
        <v>0</v>
      </c>
      <c r="H177" s="2">
        <v>0</v>
      </c>
      <c r="I177" s="2">
        <v>0</v>
      </c>
      <c r="J177" s="2">
        <v>733.20299999999997</v>
      </c>
      <c r="K177" s="2">
        <v>1057.6130000000001</v>
      </c>
      <c r="L177" s="1">
        <f t="shared" ref="L177:U177" si="173">K177*L153/K153</f>
        <v>1201.193296670438</v>
      </c>
      <c r="M177" s="1">
        <f t="shared" si="173"/>
        <v>1320.8435438958031</v>
      </c>
      <c r="N177" s="1">
        <f t="shared" si="173"/>
        <v>1340.5898007493313</v>
      </c>
      <c r="O177" s="1">
        <f t="shared" si="173"/>
        <v>1357.0450147939382</v>
      </c>
      <c r="P177" s="1">
        <f t="shared" si="173"/>
        <v>1370.7576931644437</v>
      </c>
      <c r="Q177" s="1">
        <f t="shared" si="173"/>
        <v>1382.1849251398651</v>
      </c>
      <c r="R177" s="1">
        <f t="shared" si="173"/>
        <v>1311.7453359517731</v>
      </c>
      <c r="S177" s="1">
        <f t="shared" si="173"/>
        <v>1253.04567829503</v>
      </c>
      <c r="T177" s="1">
        <f t="shared" si="173"/>
        <v>1204.1292969144106</v>
      </c>
      <c r="U177" s="1">
        <f t="shared" si="173"/>
        <v>1163.3656457638942</v>
      </c>
      <c r="X177" s="2"/>
      <c r="Y177" s="2">
        <v>0</v>
      </c>
      <c r="Z177" s="2">
        <v>0</v>
      </c>
      <c r="AA177" s="2">
        <v>0</v>
      </c>
      <c r="AB177" s="2">
        <v>449.59800000000001</v>
      </c>
      <c r="AC177" s="2">
        <v>733.20299999999997</v>
      </c>
      <c r="AD177" s="2">
        <v>857.702</v>
      </c>
      <c r="AE177" s="2">
        <v>1057.6130000000001</v>
      </c>
    </row>
    <row r="178" spans="2:31">
      <c r="C178" s="20" t="s">
        <v>139</v>
      </c>
      <c r="F178" s="2">
        <v>245.20400000000001</v>
      </c>
      <c r="G178" s="2">
        <v>273.24900000000002</v>
      </c>
      <c r="H178" s="2">
        <v>308.57900000000001</v>
      </c>
      <c r="I178" s="2">
        <v>378.03899999999999</v>
      </c>
      <c r="J178" s="2">
        <v>502.78399999999999</v>
      </c>
      <c r="K178" s="2">
        <v>642.55999999999995</v>
      </c>
      <c r="X178" s="2"/>
      <c r="Y178" s="2">
        <v>308.57900000000001</v>
      </c>
      <c r="Z178" s="2">
        <v>372.42599999999999</v>
      </c>
      <c r="AA178" s="2">
        <v>378.03899999999999</v>
      </c>
      <c r="AB178" s="2">
        <v>436.80900000000003</v>
      </c>
      <c r="AC178" s="2">
        <v>502.78399999999999</v>
      </c>
      <c r="AD178" s="2">
        <v>538.64300000000003</v>
      </c>
      <c r="AE178" s="2">
        <v>642.55999999999995</v>
      </c>
    </row>
    <row r="180" spans="2:31" s="6" customFormat="1">
      <c r="B180" s="6" t="s">
        <v>140</v>
      </c>
      <c r="F180" s="6">
        <f t="shared" ref="F180:I180" si="174">F182+F183+F184+F185</f>
        <v>5.2810000000000006</v>
      </c>
      <c r="G180" s="6">
        <f t="shared" si="174"/>
        <v>35.464999999999996</v>
      </c>
      <c r="H180" s="6">
        <f t="shared" si="174"/>
        <v>26.707000000000001</v>
      </c>
      <c r="I180" s="6">
        <f t="shared" si="174"/>
        <v>9.0969999999999995</v>
      </c>
      <c r="J180" s="6">
        <f>J182+J183+J184+J185</f>
        <v>4323.8280000000004</v>
      </c>
      <c r="K180" s="6">
        <f>K182+K183+K184+K185</f>
        <v>7421.9430000000002</v>
      </c>
      <c r="X180" s="6">
        <f t="shared" ref="X180:AA180" si="175">X182+X183+X184+X185</f>
        <v>0</v>
      </c>
      <c r="Y180" s="6">
        <f>Y182+Y183+Y184+Y185</f>
        <v>26.707000000000001</v>
      </c>
      <c r="Z180" s="6">
        <f t="shared" si="175"/>
        <v>22.09</v>
      </c>
      <c r="AA180" s="6">
        <f t="shared" si="175"/>
        <v>9.0969999999999995</v>
      </c>
      <c r="AB180" s="6">
        <f>AB182+AB183+AB184+AB185</f>
        <v>3803.8620000000001</v>
      </c>
      <c r="AC180" s="6">
        <f>AC182+AC183+AC184+AC185</f>
        <v>4323.8280000000004</v>
      </c>
      <c r="AD180" s="6">
        <f t="shared" ref="AD180" si="176">AD182+AD183+AD184+AD185</f>
        <v>5565.1369999999997</v>
      </c>
      <c r="AE180" s="6">
        <f>AE182+AE183+AE184+AE185</f>
        <v>7421.9430000000002</v>
      </c>
    </row>
    <row r="182" spans="2:31">
      <c r="C182" s="20" t="s">
        <v>141</v>
      </c>
      <c r="F182" s="2">
        <v>3.29</v>
      </c>
      <c r="G182" s="2">
        <v>21.742999999999999</v>
      </c>
      <c r="H182" s="2">
        <v>13.398</v>
      </c>
      <c r="I182" s="2">
        <v>1.6180000000000001</v>
      </c>
      <c r="J182" s="2">
        <v>46.76</v>
      </c>
      <c r="K182" s="2">
        <v>21.398</v>
      </c>
      <c r="X182" s="2"/>
      <c r="Y182" s="2">
        <v>13.398</v>
      </c>
      <c r="Z182" s="2">
        <v>1.0269999999999999</v>
      </c>
      <c r="AA182" s="2">
        <v>1.6180000000000001</v>
      </c>
      <c r="AB182" s="2">
        <v>6.4089999999999998</v>
      </c>
      <c r="AC182" s="2">
        <v>46.76</v>
      </c>
      <c r="AD182" s="2">
        <v>10.72</v>
      </c>
      <c r="AE182" s="2">
        <v>21.398</v>
      </c>
    </row>
    <row r="183" spans="2:31">
      <c r="C183" s="1" t="s">
        <v>137</v>
      </c>
      <c r="F183" s="2">
        <v>0</v>
      </c>
      <c r="G183" s="2">
        <v>11.111000000000001</v>
      </c>
      <c r="H183" s="2">
        <v>9.4559999999999995</v>
      </c>
      <c r="I183" s="2">
        <v>0</v>
      </c>
      <c r="J183" s="2">
        <v>84.757999999999996</v>
      </c>
      <c r="K183" s="2">
        <f>268.16+62.156</f>
        <v>330.31600000000003</v>
      </c>
      <c r="L183" s="1">
        <f>K183-L176</f>
        <v>297.62100000000004</v>
      </c>
      <c r="M183" s="1">
        <f t="shared" ref="M183:U183" si="177">L183-M176</f>
        <v>38.345000000000027</v>
      </c>
      <c r="N183" s="1">
        <f t="shared" si="177"/>
        <v>38.345000000000027</v>
      </c>
      <c r="O183" s="1">
        <f t="shared" si="177"/>
        <v>38.345000000000027</v>
      </c>
      <c r="P183" s="1">
        <f t="shared" si="177"/>
        <v>38.345000000000027</v>
      </c>
      <c r="Q183" s="1">
        <f t="shared" si="177"/>
        <v>38.345000000000027</v>
      </c>
      <c r="R183" s="1">
        <f t="shared" si="177"/>
        <v>38.345000000000027</v>
      </c>
      <c r="S183" s="1">
        <f t="shared" si="177"/>
        <v>38.345000000000027</v>
      </c>
      <c r="T183" s="1">
        <f t="shared" si="177"/>
        <v>38.345000000000027</v>
      </c>
      <c r="U183" s="1">
        <f t="shared" si="177"/>
        <v>38.345000000000027</v>
      </c>
      <c r="X183" s="2"/>
      <c r="Y183" s="2">
        <v>9.4559999999999995</v>
      </c>
      <c r="Z183" s="2">
        <v>17.241</v>
      </c>
      <c r="AA183" s="2">
        <v>0</v>
      </c>
      <c r="AB183" s="2">
        <v>86.114999999999995</v>
      </c>
      <c r="AC183" s="2">
        <v>84.757999999999996</v>
      </c>
      <c r="AD183" s="2">
        <f>291.971+73.457</f>
        <v>365.428</v>
      </c>
      <c r="AE183" s="2">
        <f>268.16+62.156</f>
        <v>330.31600000000003</v>
      </c>
    </row>
    <row r="184" spans="2:31">
      <c r="C184" s="1" t="s">
        <v>138</v>
      </c>
      <c r="F184" s="2">
        <v>0</v>
      </c>
      <c r="G184" s="2">
        <v>0</v>
      </c>
      <c r="H184" s="2">
        <v>0</v>
      </c>
      <c r="I184" s="2">
        <v>0</v>
      </c>
      <c r="J184" s="2">
        <v>4142.96</v>
      </c>
      <c r="K184" s="2">
        <v>7004.4210000000003</v>
      </c>
      <c r="L184" s="1">
        <f t="shared" ref="L184:U184" si="178">K184*L153/K153</f>
        <v>7955.3329547364165</v>
      </c>
      <c r="M184" s="1">
        <f t="shared" si="178"/>
        <v>8747.7595836834316</v>
      </c>
      <c r="N184" s="1">
        <f t="shared" si="178"/>
        <v>8878.5362441218404</v>
      </c>
      <c r="O184" s="1">
        <f t="shared" si="178"/>
        <v>8987.516794487181</v>
      </c>
      <c r="P184" s="1">
        <f t="shared" si="178"/>
        <v>9078.3339197916303</v>
      </c>
      <c r="Q184" s="1">
        <f t="shared" si="178"/>
        <v>9154.0148575453386</v>
      </c>
      <c r="R184" s="1">
        <f t="shared" si="178"/>
        <v>8687.5034419893236</v>
      </c>
      <c r="S184" s="1">
        <f t="shared" si="178"/>
        <v>8298.743929025979</v>
      </c>
      <c r="T184" s="1">
        <f t="shared" si="178"/>
        <v>7974.7776682231906</v>
      </c>
      <c r="U184" s="1">
        <f t="shared" si="178"/>
        <v>7704.8057842208664</v>
      </c>
      <c r="X184" s="2"/>
      <c r="Y184" s="2">
        <v>0</v>
      </c>
      <c r="Z184" s="2">
        <v>0</v>
      </c>
      <c r="AA184" s="2">
        <v>0</v>
      </c>
      <c r="AB184" s="2">
        <v>3703.145</v>
      </c>
      <c r="AC184" s="2">
        <v>4142.96</v>
      </c>
      <c r="AD184" s="2">
        <v>5130.2049999999999</v>
      </c>
      <c r="AE184" s="2">
        <v>7004.4210000000003</v>
      </c>
    </row>
    <row r="185" spans="2:31">
      <c r="C185" s="20" t="s">
        <v>142</v>
      </c>
      <c r="F185" s="2">
        <v>1.9910000000000001</v>
      </c>
      <c r="G185" s="2">
        <v>2.6110000000000002</v>
      </c>
      <c r="H185" s="2">
        <v>3.8530000000000002</v>
      </c>
      <c r="I185" s="2">
        <v>7.4790000000000001</v>
      </c>
      <c r="J185" s="2">
        <v>49.35</v>
      </c>
      <c r="K185" s="2">
        <v>65.808000000000007</v>
      </c>
      <c r="X185" s="2"/>
      <c r="Y185" s="2">
        <v>3.8530000000000002</v>
      </c>
      <c r="Z185" s="2">
        <v>3.8220000000000001</v>
      </c>
      <c r="AA185" s="2">
        <v>7.4790000000000001</v>
      </c>
      <c r="AB185" s="2">
        <v>8.1929999999999996</v>
      </c>
      <c r="AC185" s="2">
        <v>49.35</v>
      </c>
      <c r="AD185" s="2">
        <v>58.783999999999999</v>
      </c>
      <c r="AE185" s="2">
        <v>65.808000000000007</v>
      </c>
    </row>
    <row r="187" spans="2:31" s="6" customFormat="1">
      <c r="B187" s="6" t="s">
        <v>143</v>
      </c>
      <c r="F187" s="6">
        <f>F169+F180</f>
        <v>1249.6999999999998</v>
      </c>
      <c r="G187" s="6">
        <f t="shared" ref="G187:K187" si="179">G169+G180</f>
        <v>1677.7829999999999</v>
      </c>
      <c r="H187" s="6">
        <f t="shared" si="179"/>
        <v>2644.8440000000001</v>
      </c>
      <c r="I187" s="6">
        <f t="shared" si="179"/>
        <v>3315.0850000000005</v>
      </c>
      <c r="J187" s="6">
        <f t="shared" si="179"/>
        <v>9987.8990000000013</v>
      </c>
      <c r="K187" s="6">
        <f t="shared" si="179"/>
        <v>17289.885999999999</v>
      </c>
      <c r="X187" s="6">
        <f t="shared" ref="X187:AE187" si="180">X169+X180</f>
        <v>0</v>
      </c>
      <c r="Y187" s="6">
        <f>Y169+Y180</f>
        <v>2644.8440000000001</v>
      </c>
      <c r="Z187" s="6">
        <f t="shared" si="180"/>
        <v>3336.605</v>
      </c>
      <c r="AA187" s="6">
        <f>AA169+AA180</f>
        <v>3315.0850000000005</v>
      </c>
      <c r="AB187" s="6">
        <f t="shared" si="180"/>
        <v>7727.3260000000009</v>
      </c>
      <c r="AC187" s="6">
        <f t="shared" si="180"/>
        <v>9987.8990000000013</v>
      </c>
      <c r="AD187" s="6">
        <f t="shared" si="180"/>
        <v>14111.700999999997</v>
      </c>
      <c r="AE187" s="6">
        <f t="shared" si="180"/>
        <v>17289.885999999999</v>
      </c>
    </row>
    <row r="189" spans="2:31">
      <c r="B189" s="1" t="s">
        <v>144</v>
      </c>
      <c r="F189" s="1">
        <f>F190+F191</f>
        <v>719.22799999999995</v>
      </c>
      <c r="G189" s="1">
        <f t="shared" ref="G189:K189" si="181">G190+G191</f>
        <v>802.01700000000005</v>
      </c>
      <c r="H189" s="1">
        <f t="shared" si="181"/>
        <v>1089.085</v>
      </c>
      <c r="I189" s="1">
        <f t="shared" si="181"/>
        <v>8624.9719999999998</v>
      </c>
      <c r="J189" s="1">
        <f t="shared" si="181"/>
        <v>10623.000999999998</v>
      </c>
      <c r="K189" s="1">
        <f t="shared" si="181"/>
        <v>10233.950999999999</v>
      </c>
      <c r="X189" s="1">
        <f t="shared" ref="X189:AE189" si="182">X190+X191</f>
        <v>0</v>
      </c>
      <c r="Y189" s="1">
        <f t="shared" si="182"/>
        <v>1089.085</v>
      </c>
      <c r="Z189" s="1">
        <f t="shared" si="182"/>
        <v>1156.6849999999999</v>
      </c>
      <c r="AA189" s="1">
        <f t="shared" si="182"/>
        <v>8624.9719999999998</v>
      </c>
      <c r="AB189" s="1">
        <f t="shared" si="182"/>
        <v>9190.9599999999991</v>
      </c>
      <c r="AC189" s="1">
        <f t="shared" si="182"/>
        <v>10623.000999999998</v>
      </c>
      <c r="AD189" s="1">
        <f t="shared" si="182"/>
        <v>8921.5919999999987</v>
      </c>
      <c r="AE189" s="1">
        <f t="shared" si="182"/>
        <v>10233.950999999999</v>
      </c>
    </row>
    <row r="190" spans="2:31">
      <c r="C190" s="1" t="s">
        <v>145</v>
      </c>
      <c r="F190" s="2">
        <v>0</v>
      </c>
      <c r="G190" s="2">
        <v>0</v>
      </c>
      <c r="H190" s="2">
        <v>0.107</v>
      </c>
      <c r="I190" s="2">
        <v>0.17499999999999999</v>
      </c>
      <c r="J190" s="2">
        <v>0.17499999999999999</v>
      </c>
      <c r="K190" s="2">
        <v>0.17499999999999999</v>
      </c>
      <c r="X190" s="2"/>
      <c r="Y190" s="2">
        <v>0.107</v>
      </c>
      <c r="Z190" s="2">
        <v>0.107</v>
      </c>
      <c r="AA190" s="2">
        <v>0.17499999999999999</v>
      </c>
      <c r="AB190" s="2">
        <v>0.17499999999999999</v>
      </c>
      <c r="AC190" s="2">
        <v>0.17499999999999999</v>
      </c>
      <c r="AD190" s="2">
        <v>0.17499999999999999</v>
      </c>
      <c r="AE190" s="2">
        <v>0.17499999999999999</v>
      </c>
    </row>
    <row r="191" spans="2:31">
      <c r="C191" s="1" t="s">
        <v>146</v>
      </c>
      <c r="F191" s="2">
        <v>719.22799999999995</v>
      </c>
      <c r="G191" s="2">
        <v>802.01700000000005</v>
      </c>
      <c r="H191" s="2">
        <v>1088.9780000000001</v>
      </c>
      <c r="I191" s="2">
        <v>8624.7970000000005</v>
      </c>
      <c r="J191" s="2">
        <v>10622.825999999999</v>
      </c>
      <c r="K191" s="2">
        <v>10233.776</v>
      </c>
      <c r="X191" s="2"/>
      <c r="Y191" s="2">
        <v>1088.9780000000001</v>
      </c>
      <c r="Z191" s="2">
        <v>1156.578</v>
      </c>
      <c r="AA191" s="2">
        <v>8624.7970000000005</v>
      </c>
      <c r="AB191" s="2">
        <v>9190.7849999999999</v>
      </c>
      <c r="AC191" s="2">
        <v>10622.825999999999</v>
      </c>
      <c r="AD191" s="2">
        <v>8921.4169999999995</v>
      </c>
      <c r="AE191" s="2">
        <v>10233.776</v>
      </c>
    </row>
    <row r="193" spans="2:31">
      <c r="B193" s="1" t="s">
        <v>147</v>
      </c>
      <c r="F193" s="2">
        <v>437.69</v>
      </c>
      <c r="G193" s="2">
        <v>269.72300000000001</v>
      </c>
      <c r="H193" s="2">
        <v>1.8959999999999999</v>
      </c>
      <c r="I193" s="2">
        <v>4.5860000000000003</v>
      </c>
      <c r="J193" s="2">
        <v>3.032</v>
      </c>
      <c r="K193" s="2">
        <v>3.3069999999999999</v>
      </c>
      <c r="X193" s="2"/>
      <c r="Y193" s="2">
        <v>1.8959999999999999</v>
      </c>
      <c r="Z193" s="2">
        <v>35.241</v>
      </c>
      <c r="AA193" s="2">
        <v>4.5860000000000003</v>
      </c>
      <c r="AB193" s="2">
        <v>5.7160000000000002</v>
      </c>
      <c r="AC193" s="2">
        <v>3.032</v>
      </c>
      <c r="AD193" s="2">
        <v>3.1269999999999998</v>
      </c>
      <c r="AE193" s="2">
        <v>3.3069999999999999</v>
      </c>
    </row>
    <row r="195" spans="2:31" s="6" customFormat="1">
      <c r="B195" s="6" t="s">
        <v>148</v>
      </c>
      <c r="F195" s="6">
        <f>F189+F193</f>
        <v>1156.9179999999999</v>
      </c>
      <c r="G195" s="6">
        <f t="shared" ref="G195:K195" si="183">G189+G193</f>
        <v>1071.74</v>
      </c>
      <c r="H195" s="6">
        <f t="shared" si="183"/>
        <v>1090.981</v>
      </c>
      <c r="I195" s="6">
        <f t="shared" si="183"/>
        <v>8629.5579999999991</v>
      </c>
      <c r="J195" s="6">
        <f t="shared" si="183"/>
        <v>10626.032999999998</v>
      </c>
      <c r="K195" s="6">
        <f t="shared" si="183"/>
        <v>10237.258</v>
      </c>
      <c r="X195" s="6">
        <f t="shared" ref="X195:AE195" si="184">X189+X193</f>
        <v>0</v>
      </c>
      <c r="Y195" s="6">
        <f>Y189+Y193</f>
        <v>1090.981</v>
      </c>
      <c r="Z195" s="6">
        <f t="shared" si="184"/>
        <v>1191.9259999999999</v>
      </c>
      <c r="AA195" s="6">
        <f>AA189+AA193</f>
        <v>8629.5579999999991</v>
      </c>
      <c r="AB195" s="6">
        <f t="shared" si="184"/>
        <v>9196.6759999999995</v>
      </c>
      <c r="AC195" s="6">
        <f t="shared" si="184"/>
        <v>10626.032999999998</v>
      </c>
      <c r="AD195" s="6">
        <f t="shared" si="184"/>
        <v>8924.7189999999991</v>
      </c>
      <c r="AE195" s="6">
        <f t="shared" si="184"/>
        <v>10237.258</v>
      </c>
    </row>
    <row r="196" spans="2:31" s="26" customFormat="1">
      <c r="C196" s="26" t="s">
        <v>149</v>
      </c>
      <c r="F196" s="26">
        <f>F167-F187-F195</f>
        <v>0</v>
      </c>
      <c r="G196" s="26">
        <f t="shared" ref="G196:K196" si="185">G167-G187-G195</f>
        <v>0</v>
      </c>
      <c r="H196" s="26">
        <f t="shared" si="185"/>
        <v>0</v>
      </c>
      <c r="I196" s="26">
        <f t="shared" si="185"/>
        <v>0</v>
      </c>
      <c r="J196" s="26">
        <f t="shared" si="185"/>
        <v>0</v>
      </c>
      <c r="K196" s="26">
        <f t="shared" si="185"/>
        <v>0</v>
      </c>
      <c r="X196" s="26">
        <f t="shared" ref="X196:AE196" si="186">X167-X187-X195</f>
        <v>0</v>
      </c>
      <c r="Y196" s="26">
        <f t="shared" si="186"/>
        <v>0</v>
      </c>
      <c r="Z196" s="26">
        <f t="shared" si="186"/>
        <v>0</v>
      </c>
      <c r="AA196" s="26">
        <f t="shared" si="186"/>
        <v>0</v>
      </c>
      <c r="AB196" s="26">
        <f t="shared" si="186"/>
        <v>0</v>
      </c>
      <c r="AC196" s="26">
        <f t="shared" si="186"/>
        <v>0</v>
      </c>
      <c r="AD196" s="26">
        <f t="shared" si="186"/>
        <v>0</v>
      </c>
      <c r="AE196" s="26">
        <f t="shared" si="186"/>
        <v>0</v>
      </c>
    </row>
    <row r="198" spans="2:31" s="6" customFormat="1">
      <c r="B198" s="6" t="s">
        <v>150</v>
      </c>
    </row>
    <row r="200" spans="2:31" s="6" customFormat="1">
      <c r="B200" s="6" t="s">
        <v>151</v>
      </c>
      <c r="F200" s="6">
        <f>SUM(F201:F208)</f>
        <v>529.78</v>
      </c>
      <c r="G200" s="6">
        <f>SUM(G201:G208)</f>
        <v>227.32200000000014</v>
      </c>
      <c r="H200" s="6">
        <f t="shared" ref="H200:K200" si="187">SUM(H201:H208)</f>
        <v>-1077.075</v>
      </c>
      <c r="I200" s="6">
        <f t="shared" si="187"/>
        <v>-948.43699999999967</v>
      </c>
      <c r="J200" s="6">
        <f t="shared" si="187"/>
        <v>-1322.769</v>
      </c>
      <c r="K200" s="6">
        <f t="shared" si="187"/>
        <v>-816.5160000000003</v>
      </c>
      <c r="X200" s="6">
        <f t="shared" ref="X200:AE200" si="188">SUM(X201:X208)</f>
        <v>0</v>
      </c>
      <c r="Y200" s="6">
        <f t="shared" si="188"/>
        <v>-1077.075</v>
      </c>
      <c r="Z200" s="6">
        <f t="shared" si="188"/>
        <v>-927.78899999999987</v>
      </c>
      <c r="AA200" s="6">
        <f t="shared" si="188"/>
        <v>-948.43699999999967</v>
      </c>
      <c r="AB200" s="6">
        <f t="shared" si="188"/>
        <v>-607.10500000000059</v>
      </c>
      <c r="AC200" s="6">
        <f t="shared" si="188"/>
        <v>-1322.769</v>
      </c>
      <c r="AD200" s="6">
        <f t="shared" si="188"/>
        <v>-1436.1819999999998</v>
      </c>
      <c r="AE200" s="6">
        <f t="shared" si="188"/>
        <v>-816.5160000000003</v>
      </c>
    </row>
    <row r="201" spans="2:31">
      <c r="C201" s="1" t="s">
        <v>152</v>
      </c>
      <c r="F201" s="1">
        <f t="shared" ref="F201:K201" si="189">F159</f>
        <v>175.47300000000001</v>
      </c>
      <c r="G201" s="1">
        <f t="shared" si="189"/>
        <v>246.678</v>
      </c>
      <c r="H201" s="1">
        <f t="shared" si="189"/>
        <v>497.61599999999999</v>
      </c>
      <c r="I201" s="1">
        <f t="shared" si="189"/>
        <v>845.11800000000005</v>
      </c>
      <c r="J201" s="1">
        <f t="shared" si="189"/>
        <v>1615.5509999999999</v>
      </c>
      <c r="K201" s="1">
        <f t="shared" si="189"/>
        <v>2205.415</v>
      </c>
      <c r="X201" s="1">
        <f>X159</f>
        <v>0</v>
      </c>
      <c r="Y201" s="1">
        <f>Y159</f>
        <v>497.61599999999999</v>
      </c>
      <c r="Z201" s="1">
        <f t="shared" ref="Z201:AE202" si="190">Z159</f>
        <v>568.53800000000001</v>
      </c>
      <c r="AA201" s="1">
        <f>AA159</f>
        <v>845.11800000000005</v>
      </c>
      <c r="AB201" s="1">
        <f t="shared" si="190"/>
        <v>1353.2529999999999</v>
      </c>
      <c r="AC201" s="1">
        <f>AC159</f>
        <v>1615.5509999999999</v>
      </c>
      <c r="AD201" s="1">
        <f t="shared" si="190"/>
        <v>1603.4110000000001</v>
      </c>
      <c r="AE201" s="1">
        <f t="shared" si="190"/>
        <v>2205.415</v>
      </c>
    </row>
    <row r="202" spans="2:31">
      <c r="C202" s="1" t="s">
        <v>127</v>
      </c>
      <c r="F202" s="1">
        <f>F160+F110</f>
        <v>1053.655</v>
      </c>
      <c r="G202" s="1">
        <f>G160+G110</f>
        <v>912.76</v>
      </c>
      <c r="H202" s="1">
        <f>H160+H110</f>
        <v>444.21300000000002</v>
      </c>
      <c r="I202" s="1">
        <f>I160</f>
        <v>201.261</v>
      </c>
      <c r="J202" s="1">
        <f>J160</f>
        <v>300.97300000000001</v>
      </c>
      <c r="K202" s="1">
        <f>K160</f>
        <v>267.70800000000003</v>
      </c>
      <c r="X202" s="1">
        <f>X160</f>
        <v>0</v>
      </c>
      <c r="Y202" s="1">
        <f>Y160</f>
        <v>444.21300000000002</v>
      </c>
      <c r="Z202" s="1">
        <f t="shared" si="190"/>
        <v>43.558999999999997</v>
      </c>
      <c r="AA202" s="1">
        <f>AA160</f>
        <v>201.261</v>
      </c>
      <c r="AB202" s="1">
        <f t="shared" si="190"/>
        <v>250.92500000000001</v>
      </c>
      <c r="AC202" s="1">
        <f>AC160</f>
        <v>300.97300000000001</v>
      </c>
      <c r="AD202" s="1">
        <f t="shared" si="190"/>
        <v>253.57499999999999</v>
      </c>
      <c r="AE202" s="1">
        <f t="shared" si="190"/>
        <v>267.70800000000003</v>
      </c>
    </row>
    <row r="203" spans="2:31">
      <c r="C203" s="1" t="s">
        <v>125</v>
      </c>
      <c r="F203" s="1">
        <f t="shared" ref="F203:K203" si="191">F158</f>
        <v>41.064999999999998</v>
      </c>
      <c r="G203" s="1">
        <f t="shared" si="191"/>
        <v>49.707000000000001</v>
      </c>
      <c r="H203" s="1">
        <f t="shared" si="191"/>
        <v>95.117999999999995</v>
      </c>
      <c r="I203" s="1">
        <f t="shared" si="191"/>
        <v>457.12400000000002</v>
      </c>
      <c r="J203" s="1">
        <f t="shared" si="191"/>
        <v>1199.6659999999999</v>
      </c>
      <c r="K203" s="1">
        <f t="shared" si="191"/>
        <v>1154.2149999999999</v>
      </c>
      <c r="X203" s="1">
        <f>X158</f>
        <v>0</v>
      </c>
      <c r="Y203" s="1">
        <f>Y158</f>
        <v>95.117999999999995</v>
      </c>
      <c r="Z203" s="1">
        <f t="shared" ref="Z203:AE203" si="192">Z158</f>
        <v>325.43900000000002</v>
      </c>
      <c r="AA203" s="1">
        <f>AA158</f>
        <v>457.12400000000002</v>
      </c>
      <c r="AB203" s="1">
        <f t="shared" si="192"/>
        <v>458.13799999999998</v>
      </c>
      <c r="AC203" s="1">
        <f>AC158</f>
        <v>1199.6659999999999</v>
      </c>
      <c r="AD203" s="1">
        <f t="shared" si="192"/>
        <v>907.90800000000002</v>
      </c>
      <c r="AE203" s="1">
        <f t="shared" si="192"/>
        <v>1154.2149999999999</v>
      </c>
    </row>
    <row r="204" spans="2:31">
      <c r="C204" s="1" t="s">
        <v>103</v>
      </c>
      <c r="F204" s="1">
        <f t="shared" ref="F204:K204" si="193">F116</f>
        <v>52.719000000000001</v>
      </c>
      <c r="G204" s="1">
        <f t="shared" si="193"/>
        <v>68.397999999999996</v>
      </c>
      <c r="H204" s="1">
        <f t="shared" si="193"/>
        <v>120.848</v>
      </c>
      <c r="I204" s="1">
        <f t="shared" si="193"/>
        <v>232.749</v>
      </c>
      <c r="J204" s="1">
        <f t="shared" si="193"/>
        <v>269.26900000000001</v>
      </c>
      <c r="K204" s="1">
        <f t="shared" si="193"/>
        <v>352.29</v>
      </c>
      <c r="X204" s="1">
        <f t="shared" ref="X204:AE204" si="194">X116</f>
        <v>0</v>
      </c>
      <c r="Y204" s="1">
        <f t="shared" si="194"/>
        <v>120.848</v>
      </c>
      <c r="Z204" s="1">
        <f t="shared" si="194"/>
        <v>163.96199999999999</v>
      </c>
      <c r="AA204" s="1">
        <f t="shared" si="194"/>
        <v>232.749</v>
      </c>
      <c r="AB204" s="1">
        <f t="shared" si="194"/>
        <v>229.72900000000001</v>
      </c>
      <c r="AC204" s="1">
        <f t="shared" si="194"/>
        <v>269.26900000000001</v>
      </c>
      <c r="AD204" s="1">
        <f t="shared" si="194"/>
        <v>301.26600000000002</v>
      </c>
      <c r="AE204" s="1">
        <f t="shared" si="194"/>
        <v>352.29</v>
      </c>
    </row>
    <row r="205" spans="2:31">
      <c r="C205" s="1" t="s">
        <v>153</v>
      </c>
      <c r="F205" s="1">
        <f>-F171-F172</f>
        <v>-385.01499999999999</v>
      </c>
      <c r="G205" s="1">
        <f t="shared" ref="G205:K205" si="195">-G171-G172</f>
        <v>-483.74699999999996</v>
      </c>
      <c r="H205" s="1">
        <f t="shared" si="195"/>
        <v>-679.45399999999995</v>
      </c>
      <c r="I205" s="1">
        <f t="shared" si="195"/>
        <v>-1635.7919999999999</v>
      </c>
      <c r="J205" s="1">
        <f t="shared" si="195"/>
        <v>-2983.3969999999999</v>
      </c>
      <c r="K205" s="1">
        <f t="shared" si="195"/>
        <v>-3831.337</v>
      </c>
      <c r="X205" s="1">
        <f t="shared" ref="X205:AE205" si="196">-X171-X172</f>
        <v>0</v>
      </c>
      <c r="Y205" s="1">
        <f>-Y171-Y172</f>
        <v>-679.45399999999995</v>
      </c>
      <c r="Z205" s="1">
        <f t="shared" si="196"/>
        <v>-1001.227</v>
      </c>
      <c r="AA205" s="1">
        <f>-AA171-AA172</f>
        <v>-1635.7919999999999</v>
      </c>
      <c r="AB205" s="1">
        <f t="shared" si="196"/>
        <v>-2118.3110000000001</v>
      </c>
      <c r="AC205" s="1">
        <f>-AC171-AC172</f>
        <v>-2983.3969999999999</v>
      </c>
      <c r="AD205" s="1">
        <f t="shared" si="196"/>
        <v>-2952.538</v>
      </c>
      <c r="AE205" s="1">
        <f t="shared" si="196"/>
        <v>-3831.337</v>
      </c>
    </row>
    <row r="206" spans="2:31">
      <c r="C206" s="28" t="s">
        <v>134</v>
      </c>
      <c r="F206" s="1">
        <f>-F173</f>
        <v>-154.31899999999999</v>
      </c>
      <c r="G206" s="1">
        <f t="shared" ref="G206:K206" si="197">-G173</f>
        <v>-212.505</v>
      </c>
      <c r="H206" s="1">
        <f t="shared" si="197"/>
        <v>-1202.588</v>
      </c>
      <c r="I206" s="1">
        <f t="shared" si="197"/>
        <v>-592.66300000000001</v>
      </c>
      <c r="J206" s="1">
        <f t="shared" si="197"/>
        <v>-1071.8050000000001</v>
      </c>
      <c r="K206" s="1">
        <f t="shared" si="197"/>
        <v>-387.072</v>
      </c>
      <c r="X206" s="1">
        <f t="shared" ref="X206:AE206" si="198">-X173</f>
        <v>0</v>
      </c>
      <c r="Y206" s="1">
        <f>-Y173</f>
        <v>-1202.588</v>
      </c>
      <c r="Z206" s="1">
        <f t="shared" si="198"/>
        <v>-651.18499999999995</v>
      </c>
      <c r="AA206" s="1">
        <f>-AA173</f>
        <v>-592.66300000000001</v>
      </c>
      <c r="AB206" s="1">
        <f t="shared" si="198"/>
        <v>-370.48399999999998</v>
      </c>
      <c r="AC206" s="1">
        <f>-AC173</f>
        <v>-1071.8050000000001</v>
      </c>
      <c r="AD206" s="1">
        <f t="shared" si="198"/>
        <v>-1119.067</v>
      </c>
      <c r="AE206" s="1">
        <f t="shared" si="198"/>
        <v>-387.072</v>
      </c>
    </row>
    <row r="207" spans="2:31">
      <c r="C207" s="1" t="s">
        <v>139</v>
      </c>
      <c r="F207" s="1">
        <f>-F178</f>
        <v>-245.20400000000001</v>
      </c>
      <c r="G207" s="1">
        <f t="shared" ref="G207:K207" si="199">-G178</f>
        <v>-273.24900000000002</v>
      </c>
      <c r="H207" s="1">
        <f t="shared" si="199"/>
        <v>-308.57900000000001</v>
      </c>
      <c r="I207" s="1">
        <f t="shared" si="199"/>
        <v>-378.03899999999999</v>
      </c>
      <c r="J207" s="1">
        <f t="shared" si="199"/>
        <v>-502.78399999999999</v>
      </c>
      <c r="K207" s="1">
        <f t="shared" si="199"/>
        <v>-642.55999999999995</v>
      </c>
      <c r="X207" s="1">
        <f t="shared" ref="X207:AE207" si="200">-X178</f>
        <v>0</v>
      </c>
      <c r="Y207" s="1">
        <f>-Y178</f>
        <v>-308.57900000000001</v>
      </c>
      <c r="Z207" s="1">
        <f t="shared" si="200"/>
        <v>-372.42599999999999</v>
      </c>
      <c r="AA207" s="1">
        <f>-AA178</f>
        <v>-378.03899999999999</v>
      </c>
      <c r="AB207" s="1">
        <f t="shared" si="200"/>
        <v>-436.80900000000003</v>
      </c>
      <c r="AC207" s="1">
        <f>-AC178</f>
        <v>-502.78399999999999</v>
      </c>
      <c r="AD207" s="1">
        <f t="shared" si="200"/>
        <v>-538.64300000000003</v>
      </c>
      <c r="AE207" s="1">
        <f t="shared" si="200"/>
        <v>-642.55999999999995</v>
      </c>
    </row>
    <row r="208" spans="2:31">
      <c r="C208" s="1" t="s">
        <v>154</v>
      </c>
      <c r="F208" s="1">
        <f t="shared" ref="F208:K208" si="201">F114-F175-F182-F185</f>
        <v>-8.594000000000003</v>
      </c>
      <c r="G208" s="1">
        <f t="shared" si="201"/>
        <v>-80.72</v>
      </c>
      <c r="H208" s="1">
        <f t="shared" si="201"/>
        <v>-44.249000000000002</v>
      </c>
      <c r="I208" s="1">
        <f t="shared" si="201"/>
        <v>-78.194999999999979</v>
      </c>
      <c r="J208" s="1">
        <f t="shared" si="201"/>
        <v>-150.24199999999996</v>
      </c>
      <c r="K208" s="1">
        <f t="shared" si="201"/>
        <v>64.824999999999974</v>
      </c>
      <c r="X208" s="1">
        <f t="shared" ref="X208:AE208" si="202">X114-X175-X182-X185</f>
        <v>0</v>
      </c>
      <c r="Y208" s="1">
        <f t="shared" si="202"/>
        <v>-44.249000000000002</v>
      </c>
      <c r="Z208" s="1">
        <f t="shared" si="202"/>
        <v>-4.4489999999999945</v>
      </c>
      <c r="AA208" s="1">
        <f t="shared" si="202"/>
        <v>-78.194999999999979</v>
      </c>
      <c r="AB208" s="1">
        <f t="shared" si="202"/>
        <v>26.454000000000001</v>
      </c>
      <c r="AC208" s="1">
        <f t="shared" si="202"/>
        <v>-150.24199999999996</v>
      </c>
      <c r="AD208" s="1">
        <f t="shared" si="202"/>
        <v>107.90600000000001</v>
      </c>
      <c r="AE208" s="1">
        <f t="shared" si="202"/>
        <v>64.824999999999974</v>
      </c>
    </row>
    <row r="210" spans="2:31" s="4" customFormat="1">
      <c r="B210" s="4" t="s">
        <v>155</v>
      </c>
      <c r="C210" s="4" t="s">
        <v>3</v>
      </c>
      <c r="F210" s="5" t="s">
        <v>4</v>
      </c>
      <c r="G210" s="5" t="s">
        <v>5</v>
      </c>
      <c r="H210" s="5" t="s">
        <v>6</v>
      </c>
      <c r="I210" s="5" t="s">
        <v>7</v>
      </c>
      <c r="J210" s="5" t="s">
        <v>8</v>
      </c>
      <c r="K210" s="5" t="s">
        <v>156</v>
      </c>
      <c r="L210" s="5" t="s">
        <v>10</v>
      </c>
      <c r="M210" s="5" t="s">
        <v>11</v>
      </c>
      <c r="N210" s="5" t="s">
        <v>12</v>
      </c>
      <c r="O210" s="5" t="s">
        <v>13</v>
      </c>
      <c r="P210" s="5" t="s">
        <v>14</v>
      </c>
      <c r="Q210" s="5" t="s">
        <v>15</v>
      </c>
      <c r="R210" s="5" t="s">
        <v>16</v>
      </c>
      <c r="S210" s="5" t="s">
        <v>17</v>
      </c>
      <c r="T210" s="5" t="s">
        <v>18</v>
      </c>
      <c r="U210" s="5" t="s">
        <v>19</v>
      </c>
      <c r="X210" s="5" t="s">
        <v>20</v>
      </c>
      <c r="Y210" s="5" t="s">
        <v>21</v>
      </c>
      <c r="Z210" s="5" t="s">
        <v>22</v>
      </c>
      <c r="AA210" s="5" t="s">
        <v>23</v>
      </c>
      <c r="AB210" s="5" t="s">
        <v>24</v>
      </c>
      <c r="AC210" s="5" t="s">
        <v>25</v>
      </c>
      <c r="AD210" s="5" t="s">
        <v>26</v>
      </c>
      <c r="AE210" s="5" t="s">
        <v>27</v>
      </c>
    </row>
    <row r="211" spans="2:31" s="6" customFormat="1">
      <c r="B211" s="6" t="s">
        <v>157</v>
      </c>
      <c r="F211" s="7">
        <v>641.98900000000003</v>
      </c>
      <c r="G211" s="7">
        <v>1414.0609999999999</v>
      </c>
      <c r="H211" s="7">
        <v>1399.7159999999999</v>
      </c>
      <c r="I211" s="7">
        <v>2384.9070000000002</v>
      </c>
      <c r="J211" s="7">
        <v>4580.4840000000004</v>
      </c>
      <c r="X211" s="7">
        <v>617.03899999999999</v>
      </c>
      <c r="Y211" s="6">
        <f>H211-X211</f>
        <v>782.67699999999991</v>
      </c>
      <c r="Z211" s="7">
        <v>1002.908</v>
      </c>
      <c r="AA211" s="6">
        <f>I211-Z211</f>
        <v>1381.9990000000003</v>
      </c>
      <c r="AB211" s="7">
        <v>1467.6420000000001</v>
      </c>
      <c r="AC211" s="6">
        <f>J211-AB211</f>
        <v>3112.8420000000006</v>
      </c>
      <c r="AD211" s="7">
        <v>336.76499999999999</v>
      </c>
    </row>
    <row r="212" spans="2:31">
      <c r="C212" s="1" t="s">
        <v>81</v>
      </c>
      <c r="F212" s="1">
        <f>F87</f>
        <v>410.68200000000007</v>
      </c>
      <c r="G212" s="1">
        <f>G87</f>
        <v>978.19099999999935</v>
      </c>
      <c r="H212" s="1">
        <f>H87</f>
        <v>1194.3420000000008</v>
      </c>
      <c r="I212" s="1">
        <f>I87</f>
        <v>1648.8459999999991</v>
      </c>
      <c r="J212" s="1">
        <f>J87</f>
        <v>2346.9620000000014</v>
      </c>
      <c r="X212" s="1">
        <f t="shared" ref="X212:AD212" si="203">X87</f>
        <v>553.14799999999991</v>
      </c>
      <c r="Y212" s="1">
        <f t="shared" si="203"/>
        <v>641.1940000000003</v>
      </c>
      <c r="Z212" s="1">
        <f t="shared" si="203"/>
        <v>647.41099999999938</v>
      </c>
      <c r="AA212" s="1">
        <f t="shared" si="203"/>
        <v>1001.4349999999974</v>
      </c>
      <c r="AB212" s="1">
        <f t="shared" si="203"/>
        <v>912.16500000000042</v>
      </c>
      <c r="AC212" s="1">
        <f t="shared" si="203"/>
        <v>1434.7970000000016</v>
      </c>
      <c r="AD212" s="1">
        <f t="shared" si="203"/>
        <v>-964.50700000000052</v>
      </c>
    </row>
    <row r="213" spans="2:31">
      <c r="C213" s="29" t="s">
        <v>158</v>
      </c>
      <c r="F213" s="2">
        <v>236.04900000000001</v>
      </c>
      <c r="G213" s="2">
        <v>281.39499999999998</v>
      </c>
      <c r="H213" s="2">
        <v>355.37700000000001</v>
      </c>
      <c r="I213" s="2">
        <v>679.59</v>
      </c>
      <c r="J213" s="2">
        <v>1233.117</v>
      </c>
      <c r="K213" s="1">
        <f>-K126</f>
        <v>2370.6547099594654</v>
      </c>
      <c r="L213" s="1">
        <f t="shared" ref="L213:U213" si="204">-L126</f>
        <v>4106.53024849127</v>
      </c>
      <c r="M213" s="1">
        <f t="shared" si="204"/>
        <v>5823.5546724001697</v>
      </c>
      <c r="N213" s="1">
        <f t="shared" si="204"/>
        <v>7757.0729645983884</v>
      </c>
      <c r="O213" s="1">
        <f t="shared" si="204"/>
        <v>9663.2987612078286</v>
      </c>
      <c r="P213" s="1">
        <f t="shared" si="204"/>
        <v>11693.910809041023</v>
      </c>
      <c r="Q213" s="1">
        <f t="shared" si="204"/>
        <v>13872.873570644433</v>
      </c>
      <c r="R213" s="1">
        <f t="shared" si="204"/>
        <v>16221.214440666601</v>
      </c>
      <c r="S213" s="1">
        <f t="shared" si="204"/>
        <v>18511.583004863402</v>
      </c>
      <c r="T213" s="1">
        <f t="shared" si="204"/>
        <v>20868.606893348922</v>
      </c>
      <c r="U213" s="1">
        <f t="shared" si="204"/>
        <v>23332.017942043167</v>
      </c>
      <c r="X213" s="2">
        <v>160.77199999999999</v>
      </c>
      <c r="Y213" s="1">
        <f>H213-X213</f>
        <v>194.60500000000002</v>
      </c>
      <c r="Z213" s="2">
        <v>289.68599999999998</v>
      </c>
      <c r="AA213" s="1">
        <f>I213-Z213</f>
        <v>389.90400000000005</v>
      </c>
      <c r="AB213" s="2">
        <v>534.12699999999995</v>
      </c>
      <c r="AC213" s="1">
        <f>J213-AB213</f>
        <v>698.99</v>
      </c>
      <c r="AD213" s="2">
        <v>895.13499999999999</v>
      </c>
    </row>
    <row r="214" spans="2:31">
      <c r="C214" s="29" t="s">
        <v>159</v>
      </c>
      <c r="F214" s="2">
        <v>3.13</v>
      </c>
      <c r="G214" s="2">
        <v>4.5229999999999997</v>
      </c>
      <c r="H214" s="2">
        <v>4.4619999999999997</v>
      </c>
      <c r="I214" s="2">
        <v>9.7309999999999999</v>
      </c>
      <c r="J214" s="2">
        <v>20.158999999999999</v>
      </c>
      <c r="K214" s="1">
        <f>-K137</f>
        <v>43.520657248726259</v>
      </c>
      <c r="L214" s="1">
        <f t="shared" ref="L214:U214" si="205">-L137</f>
        <v>46.041443695440158</v>
      </c>
      <c r="M214" s="1">
        <f t="shared" si="205"/>
        <v>47.581518895062317</v>
      </c>
      <c r="N214" s="1">
        <f t="shared" si="205"/>
        <v>48.522428278157086</v>
      </c>
      <c r="O214" s="1">
        <f t="shared" si="205"/>
        <v>49.097277134507081</v>
      </c>
      <c r="P214" s="1">
        <f t="shared" si="205"/>
        <v>49.448481207485919</v>
      </c>
      <c r="Q214" s="1">
        <f t="shared" si="205"/>
        <v>49.663049436185396</v>
      </c>
      <c r="R214" s="1">
        <f t="shared" si="205"/>
        <v>49.794139956795604</v>
      </c>
      <c r="S214" s="1">
        <f t="shared" si="205"/>
        <v>49.874229747805273</v>
      </c>
      <c r="T214" s="1">
        <f t="shared" si="205"/>
        <v>49.92316062849838</v>
      </c>
      <c r="U214" s="1">
        <f t="shared" si="205"/>
        <v>49.953054964033754</v>
      </c>
      <c r="X214" s="2">
        <v>2.2250000000000001</v>
      </c>
      <c r="Y214" s="1">
        <f>H214-X214</f>
        <v>2.2369999999999997</v>
      </c>
      <c r="Z214" s="2">
        <v>3.8839999999999999</v>
      </c>
      <c r="AA214" s="1">
        <f>I214-Z214</f>
        <v>5.8469999999999995</v>
      </c>
      <c r="AB214" s="2">
        <v>8.24</v>
      </c>
      <c r="AC214" s="1">
        <f>J214-AB214</f>
        <v>11.918999999999999</v>
      </c>
      <c r="AD214" s="2">
        <v>14.63</v>
      </c>
    </row>
    <row r="215" spans="2:31">
      <c r="C215" s="29" t="s">
        <v>160</v>
      </c>
      <c r="F215" s="2">
        <v>0</v>
      </c>
      <c r="G215" s="2">
        <v>0</v>
      </c>
      <c r="H215" s="2">
        <v>0</v>
      </c>
      <c r="I215" s="2">
        <v>0</v>
      </c>
      <c r="J215" s="2">
        <v>638.048</v>
      </c>
      <c r="K215" s="1">
        <f>-K147</f>
        <v>792.63983333333329</v>
      </c>
      <c r="L215" s="1">
        <f t="shared" ref="L215:U215" si="206">-L147</f>
        <v>1102.199861111111</v>
      </c>
      <c r="M215" s="1">
        <f t="shared" si="206"/>
        <v>1251.8332175925923</v>
      </c>
      <c r="N215" s="1">
        <f t="shared" si="206"/>
        <v>1376.5276813271603</v>
      </c>
      <c r="O215" s="1">
        <f t="shared" si="206"/>
        <v>1397.1064011059668</v>
      </c>
      <c r="P215" s="1">
        <f t="shared" si="206"/>
        <v>1414.2553342549725</v>
      </c>
      <c r="Q215" s="1">
        <f t="shared" si="206"/>
        <v>1428.5461118791436</v>
      </c>
      <c r="R215" s="1">
        <f t="shared" si="206"/>
        <v>1440.4550932326194</v>
      </c>
      <c r="S215" s="1">
        <f t="shared" si="206"/>
        <v>1367.0459110271829</v>
      </c>
      <c r="T215" s="1">
        <f t="shared" si="206"/>
        <v>1305.8715925226522</v>
      </c>
      <c r="U215" s="1">
        <f t="shared" si="206"/>
        <v>1254.8929937688767</v>
      </c>
      <c r="X215" s="2">
        <v>0</v>
      </c>
      <c r="Y215" s="1">
        <f>H215-X215</f>
        <v>0</v>
      </c>
      <c r="Z215" s="2">
        <v>0</v>
      </c>
      <c r="AA215" s="1">
        <f>I215-Z215</f>
        <v>0</v>
      </c>
      <c r="AB215" s="2">
        <v>287.77699999999999</v>
      </c>
      <c r="AC215" s="1">
        <f>J215-AB215</f>
        <v>350.27100000000002</v>
      </c>
      <c r="AD215" s="2">
        <v>387.22500000000002</v>
      </c>
    </row>
    <row r="216" spans="2:31">
      <c r="C216" s="29" t="s">
        <v>161</v>
      </c>
      <c r="G216" s="1">
        <f>-(G200-F200)</f>
        <v>302.45799999999986</v>
      </c>
      <c r="H216" s="1">
        <f>-(H200-G200)</f>
        <v>1304.3970000000002</v>
      </c>
      <c r="I216" s="1">
        <f t="shared" ref="I216:J216" si="207">-(I200-H200)</f>
        <v>-128.63800000000037</v>
      </c>
      <c r="J216" s="1">
        <f t="shared" si="207"/>
        <v>374.33200000000033</v>
      </c>
      <c r="Z216" s="1">
        <f>-(Z200-Y200)</f>
        <v>-149.28600000000017</v>
      </c>
      <c r="AA216" s="1">
        <f t="shared" ref="AA216:AD216" si="208">-(AA200-Z200)</f>
        <v>20.647999999999797</v>
      </c>
      <c r="AB216" s="1">
        <f t="shared" si="208"/>
        <v>-341.33199999999908</v>
      </c>
      <c r="AC216" s="1">
        <f t="shared" si="208"/>
        <v>715.66399999999942</v>
      </c>
      <c r="AD216" s="1">
        <f t="shared" si="208"/>
        <v>113.41299999999978</v>
      </c>
    </row>
    <row r="217" spans="2:31">
      <c r="C217" s="29" t="s">
        <v>162</v>
      </c>
      <c r="F217" s="1">
        <f t="shared" ref="F217:I217" si="209">-F66-F76-F74-F72</f>
        <v>-7.5059999999999985</v>
      </c>
      <c r="G217" s="1">
        <f t="shared" si="209"/>
        <v>-7.5550000000000006</v>
      </c>
      <c r="H217" s="1">
        <f t="shared" si="209"/>
        <v>-22.593</v>
      </c>
      <c r="I217" s="1">
        <f t="shared" si="209"/>
        <v>-52.564</v>
      </c>
      <c r="J217" s="1">
        <f>-J66-J76-J74-J72</f>
        <v>-67.00800000000001</v>
      </c>
      <c r="K217" s="1">
        <f t="shared" ref="K217:U217" si="210">-K66-K76-K74-K72</f>
        <v>615.66500000000008</v>
      </c>
      <c r="L217" s="1">
        <f t="shared" si="210"/>
        <v>18.695172617708124</v>
      </c>
      <c r="M217" s="1">
        <f t="shared" si="210"/>
        <v>-92.510887816305342</v>
      </c>
      <c r="N217" s="1">
        <f t="shared" si="210"/>
        <v>-101.1077447834621</v>
      </c>
      <c r="O217" s="1">
        <f t="shared" si="210"/>
        <v>-108.74192313342334</v>
      </c>
      <c r="P217" s="1">
        <f t="shared" si="210"/>
        <v>-108.74192313342334</v>
      </c>
      <c r="Q217" s="1">
        <f t="shared" si="210"/>
        <v>-108.74192313342334</v>
      </c>
      <c r="R217" s="1">
        <f t="shared" si="210"/>
        <v>-108.74192313342334</v>
      </c>
      <c r="S217" s="1">
        <f t="shared" si="210"/>
        <v>-108.74192313342334</v>
      </c>
      <c r="T217" s="1">
        <f t="shared" si="210"/>
        <v>-108.74192313342334</v>
      </c>
      <c r="U217" s="1">
        <f t="shared" si="210"/>
        <v>-108.74192313342334</v>
      </c>
      <c r="Z217" s="1">
        <f>-Z76-Z74-Z72</f>
        <v>-15.257000000000001</v>
      </c>
      <c r="AA217" s="1">
        <f>-AA76-AA74-AA72</f>
        <v>0.94500000000000028</v>
      </c>
      <c r="AB217" s="1">
        <f>-AB76-AB74-AB72</f>
        <v>86.631</v>
      </c>
      <c r="AC217" s="1">
        <f>-AC76-AC74-AC72</f>
        <v>-10.163000000000025</v>
      </c>
      <c r="AD217" s="1">
        <f>-AD76-AD74-AD72</f>
        <v>108.25</v>
      </c>
    </row>
    <row r="218" spans="2:31" s="30" customFormat="1">
      <c r="C218" s="30" t="s">
        <v>163</v>
      </c>
      <c r="F218" s="30">
        <f>F211-SUM(F212:F217)</f>
        <v>-0.36600000000009913</v>
      </c>
      <c r="G218" s="30">
        <f t="shared" ref="G218:J218" si="211">G211-SUM(G212:G217)</f>
        <v>-144.95099999999911</v>
      </c>
      <c r="H218" s="30">
        <f t="shared" si="211"/>
        <v>-1436.2690000000011</v>
      </c>
      <c r="I218" s="30">
        <f t="shared" si="211"/>
        <v>227.94200000000092</v>
      </c>
      <c r="J218" s="30">
        <f t="shared" si="211"/>
        <v>34.873999999997977</v>
      </c>
      <c r="Z218" s="30">
        <f t="shared" ref="Z218:AD218" si="212">Z211-SUM(Z212:Z217)</f>
        <v>226.47000000000082</v>
      </c>
      <c r="AA218" s="30">
        <f t="shared" si="212"/>
        <v>-36.779999999996789</v>
      </c>
      <c r="AB218" s="30">
        <f t="shared" si="212"/>
        <v>-19.966000000001259</v>
      </c>
      <c r="AC218" s="30">
        <f t="shared" si="212"/>
        <v>-88.636000000000422</v>
      </c>
      <c r="AD218" s="30">
        <f t="shared" si="212"/>
        <v>-217.38099999999929</v>
      </c>
    </row>
    <row r="220" spans="2:31" s="6" customFormat="1">
      <c r="C220" s="6" t="s">
        <v>164</v>
      </c>
      <c r="F220" s="6">
        <f t="shared" ref="F220:I220" si="213">F211+F233</f>
        <v>641.98900000000003</v>
      </c>
      <c r="G220" s="6">
        <f t="shared" si="213"/>
        <v>1414.0609999999999</v>
      </c>
      <c r="H220" s="6">
        <f t="shared" si="213"/>
        <v>1399.7159999999999</v>
      </c>
      <c r="I220" s="6">
        <f t="shared" si="213"/>
        <v>2384.9070000000002</v>
      </c>
      <c r="J220" s="6">
        <f>J211+J233</f>
        <v>3881.4300000000003</v>
      </c>
    </row>
    <row r="223" spans="2:31" s="6" customFormat="1">
      <c r="B223" s="6" t="s">
        <v>165</v>
      </c>
      <c r="F223" s="7">
        <v>-915.92</v>
      </c>
      <c r="G223" s="7">
        <v>-1280.876</v>
      </c>
      <c r="H223" s="7">
        <v>-1564.855</v>
      </c>
      <c r="I223" s="7">
        <v>-3863.5889999999999</v>
      </c>
      <c r="J223" s="7">
        <v>-5026.2759999999998</v>
      </c>
      <c r="X223" s="7">
        <v>-713.89499999999998</v>
      </c>
      <c r="Y223" s="6">
        <f>H223-X223</f>
        <v>-850.96</v>
      </c>
      <c r="Z223" s="7">
        <v>-398.697</v>
      </c>
      <c r="AA223" s="6">
        <f>I223-Z223</f>
        <v>-3464.8919999999998</v>
      </c>
      <c r="AB223" s="7">
        <v>-1843.482</v>
      </c>
      <c r="AC223" s="6">
        <f>J223-AB223</f>
        <v>-3182.7939999999999</v>
      </c>
      <c r="AD223" s="7">
        <v>-2413.1309999999999</v>
      </c>
    </row>
    <row r="224" spans="2:31">
      <c r="C224" s="1" t="s">
        <v>166</v>
      </c>
      <c r="F224" s="2">
        <v>-399.92500000000001</v>
      </c>
      <c r="G224" s="2">
        <v>-429.46600000000001</v>
      </c>
      <c r="H224" s="2">
        <v>-1242.904</v>
      </c>
      <c r="I224" s="2">
        <v>-2508.2629999999999</v>
      </c>
      <c r="J224" s="2">
        <v>-4880.8069999999998</v>
      </c>
      <c r="K224" s="1">
        <f>-K122</f>
        <v>-8001.2316841201718</v>
      </c>
      <c r="L224" s="1">
        <f t="shared" ref="L224:U224" si="214">-L122</f>
        <v>-9675.9607581866949</v>
      </c>
      <c r="M224" s="1">
        <f t="shared" si="214"/>
        <v>-12095.21605221191</v>
      </c>
      <c r="N224" s="1">
        <f t="shared" si="214"/>
        <v>-13940.206973744178</v>
      </c>
      <c r="O224" s="1">
        <f t="shared" si="214"/>
        <v>-16249.898541082206</v>
      </c>
      <c r="P224" s="1">
        <f t="shared" si="214"/>
        <v>-18761.708747719676</v>
      </c>
      <c r="Q224" s="1">
        <f t="shared" si="214"/>
        <v>-21490.075228668185</v>
      </c>
      <c r="R224" s="1">
        <f t="shared" si="214"/>
        <v>-23650.37408584225</v>
      </c>
      <c r="S224" s="1">
        <f t="shared" si="214"/>
        <v>-26156.949357152818</v>
      </c>
      <c r="T224" s="1">
        <f t="shared" si="214"/>
        <v>-28859.05622037984</v>
      </c>
      <c r="U224" s="1">
        <f t="shared" si="214"/>
        <v>-31769.981396536681</v>
      </c>
      <c r="X224" s="2">
        <v>-311.99900000000002</v>
      </c>
      <c r="Y224" s="1">
        <f>H224-X224</f>
        <v>-930.90499999999997</v>
      </c>
      <c r="Z224" s="2">
        <v>-901.44600000000003</v>
      </c>
      <c r="AA224" s="1">
        <f>I224-Z224</f>
        <v>-1606.817</v>
      </c>
      <c r="AB224" s="2">
        <v>-1763.0630000000001</v>
      </c>
      <c r="AC224" s="1">
        <f>J224-AB224</f>
        <v>-3117.7439999999997</v>
      </c>
      <c r="AD224" s="2">
        <v>-1807.7080000000001</v>
      </c>
    </row>
    <row r="225" spans="2:30">
      <c r="C225" s="1" t="s">
        <v>167</v>
      </c>
      <c r="F225" s="2">
        <v>-12.512</v>
      </c>
      <c r="G225" s="2">
        <v>-0.22600000000000001</v>
      </c>
      <c r="H225" s="2">
        <v>-0.17299999999999999</v>
      </c>
      <c r="I225" s="2">
        <v>-50.805999999999997</v>
      </c>
      <c r="J225" s="2">
        <v>-63.118000000000002</v>
      </c>
      <c r="K225" s="1">
        <f>-K136</f>
        <v>-50</v>
      </c>
      <c r="L225" s="1">
        <f t="shared" ref="L225:U225" si="215">-L136</f>
        <v>-50</v>
      </c>
      <c r="M225" s="1">
        <f t="shared" si="215"/>
        <v>-50</v>
      </c>
      <c r="N225" s="1">
        <f t="shared" si="215"/>
        <v>-50</v>
      </c>
      <c r="O225" s="1">
        <f t="shared" si="215"/>
        <v>-50</v>
      </c>
      <c r="P225" s="1">
        <f t="shared" si="215"/>
        <v>-50</v>
      </c>
      <c r="Q225" s="1">
        <f t="shared" si="215"/>
        <v>-50</v>
      </c>
      <c r="R225" s="1">
        <f t="shared" si="215"/>
        <v>-50</v>
      </c>
      <c r="S225" s="1">
        <f t="shared" si="215"/>
        <v>-50</v>
      </c>
      <c r="T225" s="1">
        <f t="shared" si="215"/>
        <v>-50</v>
      </c>
      <c r="U225" s="1">
        <f t="shared" si="215"/>
        <v>-50</v>
      </c>
      <c r="X225" s="2">
        <v>-2.8000000000000001E-2</v>
      </c>
      <c r="Y225" s="1">
        <f>H225-X225</f>
        <v>-0.14499999999999999</v>
      </c>
      <c r="Z225" s="2">
        <v>-25.151</v>
      </c>
      <c r="AA225" s="1">
        <f>I225-Z225</f>
        <v>-25.654999999999998</v>
      </c>
      <c r="AB225" s="2">
        <v>-20.882000000000001</v>
      </c>
      <c r="AC225" s="1">
        <f>J225-AB225</f>
        <v>-42.236000000000004</v>
      </c>
      <c r="AD225" s="2">
        <v>-5.6950000000000003</v>
      </c>
    </row>
    <row r="226" spans="2:30">
      <c r="C226" s="1" t="s">
        <v>168</v>
      </c>
      <c r="F226" s="2">
        <v>0</v>
      </c>
      <c r="G226" s="2">
        <v>0</v>
      </c>
      <c r="H226" s="2">
        <v>0</v>
      </c>
      <c r="I226" s="2">
        <v>0</v>
      </c>
      <c r="J226" s="2">
        <v>-99.62</v>
      </c>
      <c r="X226" s="2">
        <v>0</v>
      </c>
      <c r="Y226" s="1">
        <f>H226-X226</f>
        <v>0</v>
      </c>
      <c r="Z226" s="2">
        <v>0</v>
      </c>
      <c r="AA226" s="1">
        <f>I226-Z226</f>
        <v>0</v>
      </c>
      <c r="AB226" s="2">
        <v>-101.06</v>
      </c>
      <c r="AC226" s="1">
        <f>J226-AB226</f>
        <v>1.4399999999999977</v>
      </c>
      <c r="AD226" s="2">
        <v>-99.034999999999997</v>
      </c>
    </row>
    <row r="227" spans="2:30">
      <c r="C227" s="1" t="s">
        <v>169</v>
      </c>
      <c r="F227" s="2">
        <v>-1.639</v>
      </c>
      <c r="G227" s="1">
        <f>-(G164-F164)-(G115+G162-F115-F162)</f>
        <v>-34.573999999999998</v>
      </c>
      <c r="H227" s="1">
        <f>-(H164-G164)-(H115+H162-G115-G162)</f>
        <v>-11.443999999999996</v>
      </c>
      <c r="I227" s="1">
        <f>-(I164-H164)-(I115+I162-H115-H162)</f>
        <v>-1783.9590000000001</v>
      </c>
      <c r="J227" s="1">
        <f>-(J164-I164)-(J115+J162-I115-I162)</f>
        <v>-30.523000000000188</v>
      </c>
      <c r="Z227" s="1">
        <f>-(Z164-Y164)-(Z115+Z162-Y115-Y162)</f>
        <v>46.51</v>
      </c>
      <c r="AA227" s="1">
        <f>-(AA164-Z164)-(AA115+AA162-Z115-Z162)</f>
        <v>-1830.4690000000001</v>
      </c>
      <c r="AB227" s="1">
        <f>-(AB164-AA164)-(AB115+AB162-AA115-AA162)</f>
        <v>30.701999999999799</v>
      </c>
      <c r="AC227" s="1">
        <f>-(AC164-AB164)-(AC115+AC162-AB115-AB162)</f>
        <v>-61.224999999999987</v>
      </c>
      <c r="AD227" s="1">
        <f>-(AD164-AC164)-(AD115+AD162-AC115-AC162)</f>
        <v>731.71500000000015</v>
      </c>
    </row>
    <row r="228" spans="2:30" s="30" customFormat="1">
      <c r="C228" s="30" t="s">
        <v>163</v>
      </c>
      <c r="F228" s="30">
        <f>F223-SUM(F224:F227)</f>
        <v>-501.84399999999994</v>
      </c>
      <c r="G228" s="30">
        <f t="shared" ref="G228:H228" si="216">G223-SUM(G224:G227)</f>
        <v>-816.6099999999999</v>
      </c>
      <c r="H228" s="30">
        <f t="shared" si="216"/>
        <v>-310.33400000000006</v>
      </c>
      <c r="I228" s="30">
        <f t="shared" ref="I228:J228" si="217">I223-SUM(I224:I227)</f>
        <v>479.43900000000031</v>
      </c>
      <c r="J228" s="30">
        <f t="shared" si="217"/>
        <v>47.792000000000371</v>
      </c>
      <c r="K228" s="30">
        <f>K66</f>
        <v>0</v>
      </c>
      <c r="L228" s="30">
        <f t="shared" ref="L228:U228" si="218">L66</f>
        <v>111</v>
      </c>
      <c r="M228" s="30">
        <f t="shared" si="218"/>
        <v>111</v>
      </c>
      <c r="N228" s="30">
        <f t="shared" si="218"/>
        <v>111</v>
      </c>
      <c r="O228" s="30">
        <f t="shared" si="218"/>
        <v>111</v>
      </c>
      <c r="P228" s="30">
        <f t="shared" si="218"/>
        <v>111</v>
      </c>
      <c r="Q228" s="30">
        <f t="shared" si="218"/>
        <v>111</v>
      </c>
      <c r="R228" s="30">
        <f t="shared" si="218"/>
        <v>111</v>
      </c>
      <c r="S228" s="30">
        <f t="shared" si="218"/>
        <v>111</v>
      </c>
      <c r="T228" s="30">
        <f t="shared" si="218"/>
        <v>111</v>
      </c>
      <c r="U228" s="30">
        <f t="shared" si="218"/>
        <v>111</v>
      </c>
      <c r="Z228" s="30">
        <f t="shared" ref="Z228:AD228" si="219">Z223-SUM(Z224:Z227)</f>
        <v>481.39</v>
      </c>
      <c r="AA228" s="30">
        <f t="shared" si="219"/>
        <v>-1.9510000000000218</v>
      </c>
      <c r="AB228" s="30">
        <f t="shared" si="219"/>
        <v>10.821000000000367</v>
      </c>
      <c r="AC228" s="30">
        <f t="shared" si="219"/>
        <v>36.970999999999549</v>
      </c>
      <c r="AD228" s="30">
        <f t="shared" si="219"/>
        <v>-1232.4079999999999</v>
      </c>
    </row>
    <row r="230" spans="2:30" s="6" customFormat="1">
      <c r="B230" s="6" t="s">
        <v>170</v>
      </c>
      <c r="F230" s="7">
        <v>158.59100000000001</v>
      </c>
      <c r="G230" s="7">
        <v>157.73500000000001</v>
      </c>
      <c r="H230" s="7">
        <v>104.943</v>
      </c>
      <c r="I230" s="7">
        <v>5339.3980000000001</v>
      </c>
      <c r="J230" s="7">
        <v>-1489.7180000000001</v>
      </c>
      <c r="X230" s="7">
        <v>485.79399999999998</v>
      </c>
      <c r="Y230" s="6">
        <f>H230-X230</f>
        <v>-380.851</v>
      </c>
      <c r="Z230" s="7">
        <v>-373.971</v>
      </c>
      <c r="AA230" s="6">
        <f>I230-Z230</f>
        <v>5713.3690000000006</v>
      </c>
      <c r="AB230" s="7">
        <v>-732.49400000000003</v>
      </c>
      <c r="AC230" s="6">
        <f>J230-AB230</f>
        <v>-757.22400000000005</v>
      </c>
      <c r="AD230" s="7">
        <v>2097.9349999999999</v>
      </c>
    </row>
    <row r="231" spans="2:30">
      <c r="C231" s="1" t="s">
        <v>171</v>
      </c>
      <c r="F231" s="2">
        <f>-76.563+234.374</f>
        <v>157.81099999999998</v>
      </c>
      <c r="G231" s="1">
        <f>G183+G176-F183-F176</f>
        <v>164.17099999999999</v>
      </c>
      <c r="H231" s="1">
        <f>H183+H176-G183-G176</f>
        <v>-221.34199999999998</v>
      </c>
      <c r="I231" s="1">
        <f t="shared" ref="I231:U231" si="220">I183+I176-H183-H176</f>
        <v>53.133999999999958</v>
      </c>
      <c r="J231" s="1">
        <f t="shared" si="220"/>
        <v>-180.82</v>
      </c>
      <c r="K231" s="1">
        <f t="shared" si="220"/>
        <v>3844.9260000000004</v>
      </c>
      <c r="L231" s="1">
        <f t="shared" si="220"/>
        <v>-3744.1440000000002</v>
      </c>
      <c r="M231" s="1">
        <f t="shared" si="220"/>
        <v>-32.695</v>
      </c>
      <c r="N231" s="1">
        <f t="shared" si="220"/>
        <v>-259.27600000000001</v>
      </c>
      <c r="O231" s="1">
        <f t="shared" si="220"/>
        <v>0</v>
      </c>
      <c r="P231" s="1">
        <f t="shared" si="220"/>
        <v>0</v>
      </c>
      <c r="Q231" s="1">
        <f t="shared" si="220"/>
        <v>0</v>
      </c>
      <c r="R231" s="1">
        <f t="shared" si="220"/>
        <v>0</v>
      </c>
      <c r="S231" s="1">
        <f t="shared" si="220"/>
        <v>0</v>
      </c>
      <c r="T231" s="1">
        <f t="shared" si="220"/>
        <v>0</v>
      </c>
      <c r="U231" s="1">
        <f t="shared" si="220"/>
        <v>0</v>
      </c>
      <c r="Z231" s="1">
        <f t="shared" ref="Z231:AD231" si="221">Z183+Z176-Y183-Y176</f>
        <v>754.26200000000006</v>
      </c>
      <c r="AA231" s="1">
        <f t="shared" si="221"/>
        <v>-701.12799999999993</v>
      </c>
      <c r="AB231" s="1">
        <f t="shared" si="221"/>
        <v>109.49100000000004</v>
      </c>
      <c r="AC231" s="1">
        <f t="shared" si="221"/>
        <v>-290.31100000000004</v>
      </c>
      <c r="AD231" s="1">
        <f t="shared" si="221"/>
        <v>3171.7080000000001</v>
      </c>
    </row>
    <row r="232" spans="2:30">
      <c r="C232" s="1" t="s">
        <v>172</v>
      </c>
      <c r="F232" s="2">
        <v>5.3570000000000002</v>
      </c>
      <c r="G232" s="2">
        <v>-5.6000000000000001E-2</v>
      </c>
      <c r="H232" s="2">
        <f>1492.26-796.778</f>
        <v>695.48199999999997</v>
      </c>
      <c r="I232" s="2">
        <f>712.688-1428.472</f>
        <v>-715.78399999999999</v>
      </c>
      <c r="J232" s="2">
        <v>0</v>
      </c>
      <c r="X232" s="2">
        <f>531.001-0.161</f>
        <v>530.84</v>
      </c>
      <c r="Y232" s="1">
        <f>H232-X232</f>
        <v>164.64199999999994</v>
      </c>
      <c r="Z232" s="2">
        <f>712.688-1403.623</f>
        <v>-690.93500000000006</v>
      </c>
      <c r="AA232" s="1">
        <f>I232-Z232</f>
        <v>-24.848999999999933</v>
      </c>
      <c r="AB232" s="2">
        <v>0</v>
      </c>
      <c r="AC232" s="1">
        <f>J232-AB232</f>
        <v>0</v>
      </c>
      <c r="AD232" s="2">
        <v>0</v>
      </c>
    </row>
    <row r="233" spans="2:30">
      <c r="C233" s="1" t="s">
        <v>173</v>
      </c>
      <c r="F233" s="2">
        <v>0</v>
      </c>
      <c r="G233" s="2">
        <v>0</v>
      </c>
      <c r="H233" s="2">
        <v>0</v>
      </c>
      <c r="I233" s="2">
        <v>0</v>
      </c>
      <c r="J233" s="2">
        <v>-699.05399999999997</v>
      </c>
      <c r="K233" s="1">
        <f>-K215</f>
        <v>-792.63983333333329</v>
      </c>
      <c r="L233" s="1">
        <f t="shared" ref="L233:U233" si="222">-L215</f>
        <v>-1102.199861111111</v>
      </c>
      <c r="M233" s="1">
        <f t="shared" si="222"/>
        <v>-1251.8332175925923</v>
      </c>
      <c r="N233" s="1">
        <f t="shared" si="222"/>
        <v>-1376.5276813271603</v>
      </c>
      <c r="O233" s="1">
        <f t="shared" si="222"/>
        <v>-1397.1064011059668</v>
      </c>
      <c r="P233" s="1">
        <f t="shared" si="222"/>
        <v>-1414.2553342549725</v>
      </c>
      <c r="Q233" s="1">
        <f t="shared" si="222"/>
        <v>-1428.5461118791436</v>
      </c>
      <c r="R233" s="1">
        <f t="shared" si="222"/>
        <v>-1440.4550932326194</v>
      </c>
      <c r="S233" s="1">
        <f t="shared" si="222"/>
        <v>-1367.0459110271829</v>
      </c>
      <c r="T233" s="1">
        <f t="shared" si="222"/>
        <v>-1305.8715925226522</v>
      </c>
      <c r="U233" s="1">
        <f t="shared" si="222"/>
        <v>-1254.8929937688767</v>
      </c>
      <c r="X233" s="2">
        <v>0</v>
      </c>
      <c r="Y233" s="1">
        <f>H233-X233</f>
        <v>0</v>
      </c>
      <c r="Z233" s="2">
        <v>0</v>
      </c>
      <c r="AA233" s="1">
        <f>I233-Z233</f>
        <v>0</v>
      </c>
      <c r="AB233" s="2">
        <v>-264.262</v>
      </c>
      <c r="AC233" s="1">
        <f>J233-AB233</f>
        <v>-434.79199999999997</v>
      </c>
      <c r="AD233" s="2">
        <v>-318.54500000000002</v>
      </c>
    </row>
    <row r="234" spans="2:30">
      <c r="C234" s="1" t="s">
        <v>174</v>
      </c>
      <c r="F234" s="2">
        <v>0</v>
      </c>
      <c r="G234" s="2">
        <v>0</v>
      </c>
      <c r="H234" s="2">
        <v>0</v>
      </c>
      <c r="I234" s="2">
        <v>-460.89</v>
      </c>
      <c r="J234" s="2">
        <v>-473.416</v>
      </c>
      <c r="X234" s="2">
        <v>0</v>
      </c>
      <c r="Y234" s="1">
        <f>H234-X234</f>
        <v>0</v>
      </c>
      <c r="Z234" s="2">
        <v>-460.89</v>
      </c>
      <c r="AA234" s="1">
        <f>I234-Z234</f>
        <v>0</v>
      </c>
      <c r="AB234" s="2">
        <v>-473.416</v>
      </c>
      <c r="AC234" s="1">
        <f>J234-AB234</f>
        <v>0</v>
      </c>
      <c r="AD234" s="2">
        <v>-703.41300000000001</v>
      </c>
    </row>
    <row r="235" spans="2:30">
      <c r="C235" s="1" t="s">
        <v>175</v>
      </c>
      <c r="F235" s="2">
        <v>0</v>
      </c>
      <c r="G235" s="2">
        <v>0</v>
      </c>
      <c r="H235" s="2">
        <v>0</v>
      </c>
      <c r="I235" s="2">
        <f>6632.014</f>
        <v>6632.0140000000001</v>
      </c>
      <c r="J235" s="2">
        <v>0</v>
      </c>
      <c r="X235" s="2">
        <v>0</v>
      </c>
      <c r="Y235" s="1">
        <f>H235-X235</f>
        <v>0</v>
      </c>
      <c r="Z235" s="2">
        <v>0</v>
      </c>
      <c r="AA235" s="1">
        <f>I235-Z235</f>
        <v>6632.0140000000001</v>
      </c>
      <c r="AB235" s="2">
        <v>0</v>
      </c>
      <c r="AC235" s="1">
        <f>J235-AB235</f>
        <v>0</v>
      </c>
      <c r="AD235" s="2">
        <v>0</v>
      </c>
    </row>
    <row r="236" spans="2:30" s="30" customFormat="1">
      <c r="C236" s="30" t="s">
        <v>163</v>
      </c>
      <c r="F236" s="30">
        <f>F230-SUM(F231:F235)</f>
        <v>-4.5769999999999698</v>
      </c>
      <c r="G236" s="30">
        <f t="shared" ref="G236:H236" si="223">G230-SUM(G231:G235)</f>
        <v>-6.379999999999967</v>
      </c>
      <c r="H236" s="30">
        <f t="shared" si="223"/>
        <v>-369.197</v>
      </c>
      <c r="I236" s="30">
        <f t="shared" ref="I236:J236" si="224">I230-SUM(I231:I235)</f>
        <v>-169.07600000000002</v>
      </c>
      <c r="J236" s="30">
        <f t="shared" si="224"/>
        <v>-136.42800000000011</v>
      </c>
      <c r="K236" s="30">
        <f>K76</f>
        <v>-445.55900000000003</v>
      </c>
      <c r="L236" s="30">
        <f t="shared" ref="L236:U236" si="225">L76</f>
        <v>-129.69517261770812</v>
      </c>
      <c r="M236" s="30">
        <f t="shared" si="225"/>
        <v>-18.489112183694655</v>
      </c>
      <c r="N236" s="30">
        <f t="shared" si="225"/>
        <v>-9.8922552165378974</v>
      </c>
      <c r="O236" s="30">
        <f t="shared" si="225"/>
        <v>-2.2580768665766531</v>
      </c>
      <c r="P236" s="30">
        <f t="shared" si="225"/>
        <v>-2.2580768665766531</v>
      </c>
      <c r="Q236" s="30">
        <f t="shared" si="225"/>
        <v>-2.2580768665766531</v>
      </c>
      <c r="R236" s="30">
        <f t="shared" si="225"/>
        <v>-2.2580768665766531</v>
      </c>
      <c r="S236" s="30">
        <f t="shared" si="225"/>
        <v>-2.2580768665766531</v>
      </c>
      <c r="T236" s="30">
        <f t="shared" si="225"/>
        <v>-2.2580768665766531</v>
      </c>
      <c r="U236" s="30">
        <f t="shared" si="225"/>
        <v>-2.2580768665766531</v>
      </c>
      <c r="Z236" s="30">
        <f t="shared" ref="Z236:AD236" si="226">Z230-SUM(Z231:Z235)</f>
        <v>23.591999999999985</v>
      </c>
      <c r="AA236" s="30">
        <f t="shared" si="226"/>
        <v>-192.66799999999967</v>
      </c>
      <c r="AB236" s="30">
        <f t="shared" si="226"/>
        <v>-104.30700000000013</v>
      </c>
      <c r="AC236" s="30">
        <f t="shared" si="226"/>
        <v>-32.120999999999981</v>
      </c>
      <c r="AD236" s="30">
        <f t="shared" si="226"/>
        <v>-51.815000000000055</v>
      </c>
    </row>
    <row r="238" spans="2:30" s="6" customFormat="1">
      <c r="B238" s="6" t="s">
        <v>176</v>
      </c>
      <c r="F238" s="6">
        <f>F211+F223+F230</f>
        <v>-115.33999999999992</v>
      </c>
      <c r="G238" s="6">
        <f t="shared" ref="G238:J238" si="227">G211+G223+G230</f>
        <v>290.91999999999996</v>
      </c>
      <c r="H238" s="6">
        <f t="shared" si="227"/>
        <v>-60.196000000000126</v>
      </c>
      <c r="I238" s="6">
        <f t="shared" si="227"/>
        <v>3860.7160000000003</v>
      </c>
      <c r="J238" s="6">
        <f t="shared" si="227"/>
        <v>-1935.5099999999995</v>
      </c>
      <c r="X238" s="6">
        <f t="shared" ref="X238:AD238" si="228">X211+X223+X230</f>
        <v>388.93799999999999</v>
      </c>
      <c r="Y238" s="6">
        <f>Y211+Y223+Y230</f>
        <v>-449.13400000000013</v>
      </c>
      <c r="Z238" s="6">
        <f t="shared" si="228"/>
        <v>230.24</v>
      </c>
      <c r="AA238" s="6">
        <f>AA211+AA223+AA230</f>
        <v>3630.476000000001</v>
      </c>
      <c r="AB238" s="6">
        <f t="shared" si="228"/>
        <v>-1108.3339999999998</v>
      </c>
      <c r="AC238" s="6">
        <f>AC211+AC223+AC230</f>
        <v>-827.17599999999936</v>
      </c>
      <c r="AD238" s="6">
        <f t="shared" si="228"/>
        <v>21.56899999999996</v>
      </c>
    </row>
    <row r="239" spans="2:30">
      <c r="B239" s="1" t="s">
        <v>177</v>
      </c>
      <c r="F239" s="2">
        <v>-5.2999999999999999E-2</v>
      </c>
      <c r="G239" s="2">
        <v>-0.16</v>
      </c>
      <c r="H239" s="2">
        <v>-32.341000000000001</v>
      </c>
      <c r="I239" s="2">
        <v>-24.125</v>
      </c>
      <c r="J239" s="2">
        <v>38.848999999999997</v>
      </c>
      <c r="X239" s="2">
        <v>-16.048999999999999</v>
      </c>
      <c r="Y239" s="1">
        <f>H239-X239</f>
        <v>-16.292000000000002</v>
      </c>
      <c r="Z239" s="2">
        <v>18.831</v>
      </c>
      <c r="AA239" s="1">
        <f>I239-Z239</f>
        <v>-42.956000000000003</v>
      </c>
      <c r="AB239" s="2">
        <v>-7.585</v>
      </c>
      <c r="AC239" s="1">
        <f>J239-AB239</f>
        <v>46.433999999999997</v>
      </c>
      <c r="AD239" s="2">
        <v>4.1289999999999996</v>
      </c>
    </row>
    <row r="240" spans="2:30">
      <c r="B240" s="1" t="s">
        <v>178</v>
      </c>
      <c r="F240" s="2">
        <v>-24.14</v>
      </c>
      <c r="G240" s="2">
        <v>-41.478999999999999</v>
      </c>
      <c r="H240" s="2">
        <v>-32.307000000000002</v>
      </c>
      <c r="I240" s="2">
        <v>0</v>
      </c>
      <c r="J240" s="2">
        <v>0</v>
      </c>
      <c r="X240" s="2">
        <v>-28.460999999999999</v>
      </c>
      <c r="Y240" s="1">
        <f>H240-X240</f>
        <v>-3.8460000000000036</v>
      </c>
      <c r="Z240" s="2">
        <v>0</v>
      </c>
      <c r="AA240" s="1">
        <f>I240-Z240</f>
        <v>0</v>
      </c>
      <c r="AB240" s="2">
        <v>0</v>
      </c>
      <c r="AC240" s="1">
        <f>J240-AB240</f>
        <v>0</v>
      </c>
      <c r="AD240" s="2">
        <v>0</v>
      </c>
    </row>
    <row r="241" spans="2:31">
      <c r="B241" s="1" t="s">
        <v>107</v>
      </c>
      <c r="F241" s="2">
        <v>297.12799999999999</v>
      </c>
      <c r="G241" s="1">
        <f>F242</f>
        <v>157.595</v>
      </c>
      <c r="H241" s="1">
        <f>G242</f>
        <v>406.87599999999998</v>
      </c>
      <c r="I241" s="1">
        <f t="shared" ref="I241:J241" si="229">H242</f>
        <v>282.03199999999998</v>
      </c>
      <c r="J241" s="1">
        <f t="shared" si="229"/>
        <v>4118.6229999999996</v>
      </c>
      <c r="Z241" s="1">
        <f t="shared" ref="Z241:AD241" si="230">Y242</f>
        <v>282.03199999999998</v>
      </c>
      <c r="AA241" s="1">
        <f t="shared" si="230"/>
        <v>531.10299999999995</v>
      </c>
      <c r="AB241" s="1">
        <f t="shared" si="230"/>
        <v>4118.6229999999996</v>
      </c>
      <c r="AC241" s="1">
        <f t="shared" si="230"/>
        <v>3002.7040000000002</v>
      </c>
      <c r="AD241" s="1">
        <f t="shared" si="230"/>
        <v>2221.962</v>
      </c>
    </row>
    <row r="242" spans="2:31">
      <c r="B242" s="1" t="s">
        <v>179</v>
      </c>
      <c r="F242" s="1">
        <f t="shared" ref="F242:G242" si="231">F165</f>
        <v>157.595</v>
      </c>
      <c r="G242" s="1">
        <f t="shared" si="231"/>
        <v>406.87599999999998</v>
      </c>
      <c r="H242" s="1">
        <f>H165</f>
        <v>282.03199999999998</v>
      </c>
      <c r="I242" s="1">
        <f t="shared" ref="I242:J242" si="232">I165</f>
        <v>4118.6229999999996</v>
      </c>
      <c r="J242" s="1">
        <f t="shared" si="232"/>
        <v>2221.962</v>
      </c>
      <c r="Y242" s="1">
        <f t="shared" ref="Y242:AD242" si="233">Y165</f>
        <v>282.03199999999998</v>
      </c>
      <c r="Z242" s="1">
        <f t="shared" si="233"/>
        <v>531.10299999999995</v>
      </c>
      <c r="AA242" s="1">
        <f t="shared" si="233"/>
        <v>4118.6229999999996</v>
      </c>
      <c r="AB242" s="1">
        <f t="shared" si="233"/>
        <v>3002.7040000000002</v>
      </c>
      <c r="AC242" s="1">
        <f t="shared" si="233"/>
        <v>2221.962</v>
      </c>
      <c r="AD242" s="1">
        <f t="shared" si="233"/>
        <v>2247.66</v>
      </c>
    </row>
    <row r="243" spans="2:31" s="26" customFormat="1">
      <c r="C243" s="26" t="s">
        <v>149</v>
      </c>
      <c r="F243" s="26">
        <f t="shared" ref="F243:G243" si="234">F242-F241-F240-F238-F239</f>
        <v>-6.8327288271774478E-14</v>
      </c>
      <c r="G243" s="26">
        <f t="shared" si="234"/>
        <v>3.1835645231126364E-14</v>
      </c>
      <c r="H243" s="26">
        <f>H242-H241-H240-H238-H239</f>
        <v>1.3500311979441904E-13</v>
      </c>
      <c r="I243" s="26">
        <f t="shared" ref="I243:J243" si="235">I242-I241-I240-I238-I239</f>
        <v>-9.0949470177292824E-13</v>
      </c>
      <c r="J243" s="26">
        <f t="shared" si="235"/>
        <v>-6.3948846218409017E-14</v>
      </c>
      <c r="Z243" s="26">
        <f t="shared" ref="Z243:AD243" si="236">Z242-Z241-Z240-Z238-Z239</f>
        <v>-3.907985046680551E-14</v>
      </c>
      <c r="AA243" s="26">
        <f t="shared" si="236"/>
        <v>-1.4921397450962104E-12</v>
      </c>
      <c r="AB243" s="26">
        <f t="shared" si="236"/>
        <v>4.1833203567875898E-13</v>
      </c>
      <c r="AC243" s="26">
        <f t="shared" si="236"/>
        <v>-8.2422957348171622E-13</v>
      </c>
      <c r="AD243" s="26">
        <f t="shared" si="236"/>
        <v>-9.4146912488213275E-14</v>
      </c>
    </row>
    <row r="245" spans="2:31" s="6" customFormat="1">
      <c r="B245" s="6" t="s">
        <v>180</v>
      </c>
      <c r="F245" s="6">
        <f t="shared" ref="F245:I245" si="237">F220+F224+F225</f>
        <v>229.55200000000002</v>
      </c>
      <c r="G245" s="6">
        <f t="shared" si="237"/>
        <v>984.36899999999991</v>
      </c>
      <c r="H245" s="6">
        <f t="shared" si="237"/>
        <v>156.6389999999999</v>
      </c>
      <c r="I245" s="6">
        <f t="shared" si="237"/>
        <v>-174.16199999999975</v>
      </c>
      <c r="J245" s="6">
        <f>J220+J224+J225</f>
        <v>-1062.4949999999994</v>
      </c>
      <c r="X245" s="6">
        <f t="shared" ref="X245:AD245" si="238">X211+X224+X225</f>
        <v>305.01199999999994</v>
      </c>
      <c r="Y245" s="6">
        <f t="shared" si="238"/>
        <v>-148.37300000000008</v>
      </c>
      <c r="Z245" s="6">
        <f t="shared" si="238"/>
        <v>76.310999999999993</v>
      </c>
      <c r="AA245" s="6">
        <f t="shared" si="238"/>
        <v>-250.47299999999976</v>
      </c>
      <c r="AB245" s="6">
        <f t="shared" si="238"/>
        <v>-316.30300000000005</v>
      </c>
      <c r="AC245" s="6">
        <f t="shared" si="238"/>
        <v>-47.137999999999138</v>
      </c>
      <c r="AD245" s="6">
        <f t="shared" si="238"/>
        <v>-1476.6380000000001</v>
      </c>
    </row>
    <row r="246" spans="2:31" s="12" customFormat="1">
      <c r="C246" s="12" t="s">
        <v>181</v>
      </c>
      <c r="F246" s="12">
        <f t="shared" ref="F246:G246" si="239">F245/F$5</f>
        <v>3.9875747870040418E-2</v>
      </c>
      <c r="G246" s="12">
        <f t="shared" si="239"/>
        <v>0.12607691958923553</v>
      </c>
      <c r="H246" s="12">
        <f>H245/H$5</f>
        <v>1.47256272109969E-2</v>
      </c>
      <c r="I246" s="12">
        <f t="shared" ref="I246:J246" si="240">I245/I$5</f>
        <v>-1.0263478911668842E-2</v>
      </c>
      <c r="J246" s="12">
        <f t="shared" si="240"/>
        <v>-4.0009915727612241E-2</v>
      </c>
      <c r="X246" s="12">
        <f t="shared" ref="X246:AD246" si="241">X245/X$5</f>
        <v>6.4131167256965577E-2</v>
      </c>
      <c r="Y246" s="12">
        <f t="shared" si="241"/>
        <v>-2.5228762281918119E-2</v>
      </c>
      <c r="Z246" s="12">
        <f t="shared" si="241"/>
        <v>1.0392850313865141E-2</v>
      </c>
      <c r="AA246" s="12">
        <f t="shared" si="241"/>
        <v>-2.6019232830856942E-2</v>
      </c>
      <c r="AB246" s="12">
        <f t="shared" si="241"/>
        <v>-2.7046867509914387E-2</v>
      </c>
      <c r="AC246" s="12">
        <f t="shared" si="241"/>
        <v>-3.1718910884919213E-3</v>
      </c>
      <c r="AD246" s="12">
        <f t="shared" si="241"/>
        <v>-0.15128549920829704</v>
      </c>
    </row>
    <row r="247" spans="2:31" s="12" customFormat="1">
      <c r="C247" s="12" t="s">
        <v>182</v>
      </c>
    </row>
    <row r="250" spans="2:31" s="4" customFormat="1">
      <c r="B250" s="4" t="s">
        <v>183</v>
      </c>
      <c r="C250" s="4" t="s">
        <v>3</v>
      </c>
      <c r="F250" s="5" t="s">
        <v>4</v>
      </c>
      <c r="G250" s="5" t="s">
        <v>5</v>
      </c>
      <c r="H250" s="5" t="s">
        <v>6</v>
      </c>
      <c r="I250" s="5" t="s">
        <v>7</v>
      </c>
      <c r="J250" s="5" t="s">
        <v>8</v>
      </c>
      <c r="K250" s="5" t="s">
        <v>156</v>
      </c>
      <c r="L250" s="5" t="s">
        <v>10</v>
      </c>
      <c r="M250" s="5" t="s">
        <v>11</v>
      </c>
      <c r="N250" s="5" t="s">
        <v>12</v>
      </c>
      <c r="O250" s="5" t="s">
        <v>13</v>
      </c>
      <c r="P250" s="5" t="s">
        <v>14</v>
      </c>
      <c r="Q250" s="5" t="s">
        <v>15</v>
      </c>
      <c r="R250" s="5" t="s">
        <v>16</v>
      </c>
      <c r="S250" s="5" t="s">
        <v>17</v>
      </c>
      <c r="T250" s="5" t="s">
        <v>18</v>
      </c>
      <c r="U250" s="5" t="s">
        <v>19</v>
      </c>
      <c r="X250" s="5"/>
      <c r="Y250" s="5"/>
      <c r="Z250" s="5"/>
      <c r="AA250" s="5"/>
      <c r="AB250" s="5"/>
      <c r="AC250" s="5"/>
      <c r="AD250" s="5"/>
      <c r="AE250" s="5"/>
    </row>
    <row r="255" spans="2:31" s="4" customFormat="1">
      <c r="B255" s="4" t="s">
        <v>184</v>
      </c>
      <c r="C255" s="4" t="s">
        <v>3</v>
      </c>
      <c r="F255" s="5" t="s">
        <v>4</v>
      </c>
      <c r="G255" s="5" t="s">
        <v>5</v>
      </c>
      <c r="H255" s="5" t="s">
        <v>6</v>
      </c>
      <c r="I255" s="5" t="s">
        <v>7</v>
      </c>
      <c r="J255" s="5" t="s">
        <v>8</v>
      </c>
      <c r="K255" s="5" t="s">
        <v>156</v>
      </c>
      <c r="L255" s="5" t="s">
        <v>10</v>
      </c>
      <c r="M255" s="5" t="s">
        <v>11</v>
      </c>
      <c r="N255" s="5" t="s">
        <v>12</v>
      </c>
      <c r="O255" s="5" t="s">
        <v>13</v>
      </c>
      <c r="P255" s="5" t="s">
        <v>14</v>
      </c>
      <c r="Q255" s="5" t="s">
        <v>15</v>
      </c>
      <c r="R255" s="5" t="s">
        <v>16</v>
      </c>
      <c r="S255" s="5" t="s">
        <v>17</v>
      </c>
      <c r="T255" s="5" t="s">
        <v>18</v>
      </c>
      <c r="U255" s="5" t="s">
        <v>19</v>
      </c>
      <c r="X255" s="5" t="s">
        <v>20</v>
      </c>
      <c r="Y255" s="5" t="s">
        <v>21</v>
      </c>
      <c r="Z255" s="5" t="s">
        <v>22</v>
      </c>
      <c r="AA255" s="5" t="s">
        <v>23</v>
      </c>
      <c r="AB255" s="5" t="s">
        <v>24</v>
      </c>
      <c r="AC255" s="5" t="s">
        <v>25</v>
      </c>
      <c r="AD255" s="5" t="s">
        <v>26</v>
      </c>
      <c r="AE255" s="5" t="s">
        <v>27</v>
      </c>
    </row>
    <row r="256" spans="2:31">
      <c r="B256" s="31" t="s">
        <v>185</v>
      </c>
      <c r="C256" s="1" t="s">
        <v>186</v>
      </c>
    </row>
    <row r="257" spans="2:31">
      <c r="C257" s="1" t="s">
        <v>187</v>
      </c>
      <c r="F257" s="2">
        <v>70.737499999999997</v>
      </c>
      <c r="G257" s="2">
        <v>71.877900000000011</v>
      </c>
      <c r="H257" s="2">
        <v>72.917000000000002</v>
      </c>
      <c r="I257" s="2">
        <v>73.710800000000006</v>
      </c>
      <c r="J257" s="2">
        <v>74.564700000000002</v>
      </c>
      <c r="K257" s="1">
        <f>J257*(1+K258)</f>
        <v>75.310347000000007</v>
      </c>
      <c r="L257" s="1">
        <f t="shared" ref="L257:P257" si="242">K257*(1+L258)</f>
        <v>76.063450470000006</v>
      </c>
      <c r="M257" s="1">
        <f t="shared" si="242"/>
        <v>76.824084974700014</v>
      </c>
      <c r="N257" s="1">
        <f t="shared" si="242"/>
        <v>77.592325824447016</v>
      </c>
      <c r="O257" s="1">
        <f t="shared" si="242"/>
        <v>78.368249082691491</v>
      </c>
      <c r="P257" s="1">
        <f t="shared" si="242"/>
        <v>79.151931573518411</v>
      </c>
      <c r="Q257" s="1">
        <f>P257*(1+Q258)</f>
        <v>79.943450889253597</v>
      </c>
      <c r="R257" s="1">
        <f t="shared" ref="R257:U257" si="243">Q257*(1+R258)</f>
        <v>80.742885398146129</v>
      </c>
      <c r="S257" s="1">
        <f t="shared" si="243"/>
        <v>81.550314252127592</v>
      </c>
      <c r="T257" s="1">
        <f t="shared" si="243"/>
        <v>82.365817394648872</v>
      </c>
      <c r="U257" s="1">
        <f t="shared" si="243"/>
        <v>83.189475568595356</v>
      </c>
    </row>
    <row r="258" spans="2:31" s="8" customFormat="1">
      <c r="D258" s="8" t="s">
        <v>30</v>
      </c>
      <c r="G258" s="8">
        <f t="shared" ref="G258:I258" si="244">G257/F257-1</f>
        <v>1.6121576250221148E-2</v>
      </c>
      <c r="H258" s="8">
        <f t="shared" si="244"/>
        <v>1.4456460191519138E-2</v>
      </c>
      <c r="I258" s="8">
        <f t="shared" si="244"/>
        <v>1.0886350233827669E-2</v>
      </c>
      <c r="J258" s="8">
        <f>J257/I257-1</f>
        <v>1.1584462521095906E-2</v>
      </c>
      <c r="K258" s="9">
        <v>0.01</v>
      </c>
      <c r="L258" s="9">
        <v>0.01</v>
      </c>
      <c r="M258" s="9">
        <v>0.01</v>
      </c>
      <c r="N258" s="9">
        <v>0.01</v>
      </c>
      <c r="O258" s="9">
        <v>0.01</v>
      </c>
      <c r="P258" s="9">
        <v>0.01</v>
      </c>
      <c r="Q258" s="9">
        <v>0.01</v>
      </c>
      <c r="R258" s="9">
        <v>0.01</v>
      </c>
      <c r="S258" s="9">
        <v>0.01</v>
      </c>
      <c r="T258" s="9">
        <v>0.01</v>
      </c>
      <c r="U258" s="9">
        <v>0.01</v>
      </c>
    </row>
    <row r="259" spans="2:31">
      <c r="C259" s="1" t="s">
        <v>188</v>
      </c>
      <c r="F259" s="2">
        <v>246.26930000000007</v>
      </c>
      <c r="G259" s="2">
        <v>249.62579999999997</v>
      </c>
      <c r="H259" s="2">
        <v>253.40490000000003</v>
      </c>
      <c r="I259" s="2">
        <v>256.87750000000005</v>
      </c>
      <c r="J259" s="2">
        <v>261.62130000000002</v>
      </c>
      <c r="K259" s="1">
        <f>J259*(1+K260)</f>
        <v>265.54561949999999</v>
      </c>
      <c r="L259" s="1">
        <f t="shared" ref="L259:P259" si="245">K259*(1+L260)</f>
        <v>269.52880379249996</v>
      </c>
      <c r="M259" s="1">
        <f t="shared" si="245"/>
        <v>273.57173584938744</v>
      </c>
      <c r="N259" s="1">
        <f t="shared" si="245"/>
        <v>277.6753118871282</v>
      </c>
      <c r="O259" s="1">
        <f t="shared" si="245"/>
        <v>281.84044156543507</v>
      </c>
      <c r="P259" s="1">
        <f t="shared" si="245"/>
        <v>286.06804818891658</v>
      </c>
      <c r="Q259" s="1">
        <f>P259*(1+Q260)</f>
        <v>290.35906891175028</v>
      </c>
      <c r="R259" s="1">
        <f t="shared" ref="R259:U259" si="246">Q259*(1+R260)</f>
        <v>294.7144549454265</v>
      </c>
      <c r="S259" s="1">
        <f t="shared" si="246"/>
        <v>299.13517176960784</v>
      </c>
      <c r="T259" s="1">
        <f t="shared" si="246"/>
        <v>303.62219934615194</v>
      </c>
      <c r="U259" s="1">
        <f t="shared" si="246"/>
        <v>308.17653233634417</v>
      </c>
    </row>
    <row r="260" spans="2:31" s="8" customFormat="1">
      <c r="D260" s="8" t="s">
        <v>30</v>
      </c>
      <c r="G260" s="8">
        <f t="shared" ref="G260:I260" si="247">G259/F259-1</f>
        <v>1.3629388640808537E-2</v>
      </c>
      <c r="H260" s="8">
        <f t="shared" si="247"/>
        <v>1.5139060145225702E-2</v>
      </c>
      <c r="I260" s="8">
        <f t="shared" si="247"/>
        <v>1.3703760266672083E-2</v>
      </c>
      <c r="J260" s="8">
        <f>J259/I259-1</f>
        <v>1.8467168202742412E-2</v>
      </c>
      <c r="K260" s="9">
        <v>1.4999999999999999E-2</v>
      </c>
      <c r="L260" s="9">
        <v>1.4999999999999999E-2</v>
      </c>
      <c r="M260" s="9">
        <v>1.4999999999999999E-2</v>
      </c>
      <c r="N260" s="9">
        <v>1.4999999999999999E-2</v>
      </c>
      <c r="O260" s="9">
        <v>1.4999999999999999E-2</v>
      </c>
      <c r="P260" s="9">
        <v>1.4999999999999999E-2</v>
      </c>
      <c r="Q260" s="9">
        <v>1.4999999999999999E-2</v>
      </c>
      <c r="R260" s="9">
        <v>1.4999999999999999E-2</v>
      </c>
      <c r="S260" s="9">
        <v>1.4999999999999999E-2</v>
      </c>
      <c r="T260" s="9">
        <v>1.4999999999999999E-2</v>
      </c>
      <c r="U260" s="9">
        <v>1.4999999999999999E-2</v>
      </c>
    </row>
    <row r="262" spans="2:31" s="21" customFormat="1">
      <c r="B262" s="32" t="s">
        <v>189</v>
      </c>
      <c r="C262" s="32"/>
      <c r="D262" s="32"/>
      <c r="E262" s="32"/>
    </row>
    <row r="263" spans="2:31" s="6" customFormat="1">
      <c r="B263" s="6" t="s">
        <v>190</v>
      </c>
      <c r="F263" s="6">
        <f t="shared" ref="F263:I263" si="248">F264+F265+F266+F267</f>
        <v>146</v>
      </c>
      <c r="G263" s="6">
        <f t="shared" si="248"/>
        <v>176</v>
      </c>
      <c r="H263" s="6">
        <f t="shared" si="248"/>
        <v>273</v>
      </c>
      <c r="I263" s="6">
        <f t="shared" si="248"/>
        <v>466</v>
      </c>
      <c r="J263" s="6">
        <f>J264+J265+J266+J267</f>
        <v>768</v>
      </c>
      <c r="K263" s="6">
        <f>K264+K265+K266+K267</f>
        <v>1298</v>
      </c>
      <c r="L263" s="6">
        <f t="shared" ref="L263:U263" si="249">L296</f>
        <v>1698</v>
      </c>
      <c r="M263" s="6">
        <f t="shared" si="249"/>
        <v>2098</v>
      </c>
      <c r="N263" s="6">
        <f t="shared" si="249"/>
        <v>2398</v>
      </c>
      <c r="O263" s="6">
        <f t="shared" si="249"/>
        <v>2698</v>
      </c>
      <c r="P263" s="6">
        <f t="shared" si="249"/>
        <v>2998</v>
      </c>
      <c r="Q263" s="6">
        <f t="shared" si="249"/>
        <v>3298</v>
      </c>
      <c r="R263" s="6">
        <f t="shared" si="249"/>
        <v>3498</v>
      </c>
      <c r="S263" s="6">
        <f t="shared" si="249"/>
        <v>3698</v>
      </c>
      <c r="T263" s="6">
        <f t="shared" si="249"/>
        <v>3898</v>
      </c>
      <c r="U263" s="6">
        <f t="shared" si="249"/>
        <v>4098</v>
      </c>
      <c r="X263" s="6">
        <f t="shared" ref="X263:AB263" si="250">X264+X265+X266+X267</f>
        <v>203</v>
      </c>
      <c r="Y263" s="6">
        <f t="shared" si="250"/>
        <v>273</v>
      </c>
      <c r="Z263" s="6">
        <f t="shared" si="250"/>
        <v>341</v>
      </c>
      <c r="AA263" s="6">
        <f t="shared" si="250"/>
        <v>466</v>
      </c>
      <c r="AB263" s="6">
        <f t="shared" si="250"/>
        <v>593</v>
      </c>
      <c r="AC263" s="6">
        <f>AC264+AC265+AC266+AC267</f>
        <v>768</v>
      </c>
      <c r="AD263" s="6">
        <f>AD264+AD265+AD266+AD267</f>
        <v>935</v>
      </c>
      <c r="AE263" s="6">
        <f>AE264+AE265+AE266+AE267</f>
        <v>1298</v>
      </c>
    </row>
    <row r="264" spans="2:31">
      <c r="C264" s="1" t="s">
        <v>187</v>
      </c>
      <c r="F264" s="2">
        <v>50</v>
      </c>
      <c r="G264" s="2">
        <v>55</v>
      </c>
      <c r="H264" s="2">
        <v>65</v>
      </c>
      <c r="I264" s="2">
        <v>106</v>
      </c>
      <c r="J264" s="2">
        <v>190</v>
      </c>
      <c r="K264" s="2">
        <v>255</v>
      </c>
      <c r="L264" s="1">
        <f t="shared" ref="L264:U267" si="251">K264+L286</f>
        <v>300.05660377358492</v>
      </c>
      <c r="M264" s="1">
        <f t="shared" si="251"/>
        <v>341.11320754716985</v>
      </c>
      <c r="N264" s="1">
        <f t="shared" si="251"/>
        <v>368.90566037735852</v>
      </c>
      <c r="O264" s="1">
        <f t="shared" si="251"/>
        <v>393.69811320754718</v>
      </c>
      <c r="P264" s="1">
        <f t="shared" si="251"/>
        <v>415.49056603773585</v>
      </c>
      <c r="Q264" s="1">
        <f t="shared" si="251"/>
        <v>437.28301886792451</v>
      </c>
      <c r="R264" s="1">
        <f t="shared" si="251"/>
        <v>451.81132075471697</v>
      </c>
      <c r="S264" s="1">
        <f t="shared" si="251"/>
        <v>466.33962264150944</v>
      </c>
      <c r="T264" s="1">
        <f t="shared" si="251"/>
        <v>480.8679245283019</v>
      </c>
      <c r="U264" s="1">
        <f t="shared" si="251"/>
        <v>495.39622641509436</v>
      </c>
      <c r="X264" s="2">
        <v>57</v>
      </c>
      <c r="Y264" s="2">
        <v>65</v>
      </c>
      <c r="Z264" s="2">
        <v>78</v>
      </c>
      <c r="AA264" s="2">
        <v>106</v>
      </c>
      <c r="AB264" s="2">
        <v>146</v>
      </c>
      <c r="AC264" s="2">
        <v>190</v>
      </c>
      <c r="AD264" s="2">
        <v>212</v>
      </c>
      <c r="AE264" s="2">
        <v>255</v>
      </c>
    </row>
    <row r="265" spans="2:31">
      <c r="C265" s="1" t="s">
        <v>188</v>
      </c>
      <c r="F265" s="2">
        <v>71</v>
      </c>
      <c r="G265" s="2">
        <v>83</v>
      </c>
      <c r="H265" s="2">
        <v>120</v>
      </c>
      <c r="I265" s="2">
        <v>207</v>
      </c>
      <c r="J265" s="2">
        <v>332</v>
      </c>
      <c r="K265" s="2">
        <v>499</v>
      </c>
      <c r="L265" s="1">
        <f t="shared" si="251"/>
        <v>639</v>
      </c>
      <c r="M265" s="1">
        <f t="shared" si="251"/>
        <v>779</v>
      </c>
      <c r="N265" s="1">
        <f t="shared" si="251"/>
        <v>884</v>
      </c>
      <c r="O265" s="1">
        <f t="shared" si="251"/>
        <v>989</v>
      </c>
      <c r="P265" s="1">
        <f t="shared" si="251"/>
        <v>1094</v>
      </c>
      <c r="Q265" s="1">
        <f t="shared" si="251"/>
        <v>1199</v>
      </c>
      <c r="R265" s="1">
        <f t="shared" si="251"/>
        <v>1269</v>
      </c>
      <c r="S265" s="1">
        <f t="shared" si="251"/>
        <v>1339</v>
      </c>
      <c r="T265" s="1">
        <f t="shared" si="251"/>
        <v>1409</v>
      </c>
      <c r="U265" s="1">
        <f t="shared" si="251"/>
        <v>1479</v>
      </c>
      <c r="X265" s="2">
        <v>95</v>
      </c>
      <c r="Y265" s="2">
        <v>120</v>
      </c>
      <c r="Z265" s="2">
        <v>153</v>
      </c>
      <c r="AA265" s="2">
        <v>207</v>
      </c>
      <c r="AB265" s="2">
        <v>257</v>
      </c>
      <c r="AC265" s="2">
        <v>332</v>
      </c>
      <c r="AD265" s="2">
        <v>389</v>
      </c>
      <c r="AE265" s="2">
        <v>499</v>
      </c>
    </row>
    <row r="266" spans="2:31">
      <c r="C266" s="1" t="s">
        <v>191</v>
      </c>
      <c r="F266" s="2">
        <v>18</v>
      </c>
      <c r="G266" s="2">
        <v>29</v>
      </c>
      <c r="H266" s="2">
        <v>69</v>
      </c>
      <c r="I266" s="2">
        <v>117</v>
      </c>
      <c r="J266" s="2">
        <v>194</v>
      </c>
      <c r="K266" s="2">
        <v>451</v>
      </c>
      <c r="L266" s="1">
        <f t="shared" si="251"/>
        <v>648.96226415094338</v>
      </c>
      <c r="M266" s="1">
        <f t="shared" si="251"/>
        <v>850.92452830188677</v>
      </c>
      <c r="N266" s="1">
        <f t="shared" si="251"/>
        <v>1005.3962264150944</v>
      </c>
      <c r="O266" s="1">
        <f t="shared" si="251"/>
        <v>1162.867924528302</v>
      </c>
      <c r="P266" s="1">
        <f t="shared" si="251"/>
        <v>1323.3396226415095</v>
      </c>
      <c r="Q266" s="1">
        <f t="shared" si="251"/>
        <v>1483.8113207547171</v>
      </c>
      <c r="R266" s="1">
        <f t="shared" si="251"/>
        <v>1590.7924528301889</v>
      </c>
      <c r="S266" s="1">
        <f t="shared" si="251"/>
        <v>1697.7735849056608</v>
      </c>
      <c r="T266" s="1">
        <f t="shared" si="251"/>
        <v>1804.7547169811326</v>
      </c>
      <c r="U266" s="1">
        <f t="shared" si="251"/>
        <v>1911.7358490566044</v>
      </c>
      <c r="X266" s="2">
        <v>39</v>
      </c>
      <c r="Y266" s="2">
        <v>69</v>
      </c>
      <c r="Z266" s="2">
        <v>85</v>
      </c>
      <c r="AA266" s="2">
        <v>117</v>
      </c>
      <c r="AB266" s="2">
        <v>147</v>
      </c>
      <c r="AC266" s="2">
        <v>194</v>
      </c>
      <c r="AD266" s="2">
        <v>267</v>
      </c>
      <c r="AE266" s="2">
        <v>451</v>
      </c>
    </row>
    <row r="267" spans="2:31">
      <c r="C267" s="1" t="s">
        <v>192</v>
      </c>
      <c r="F267" s="2">
        <v>7</v>
      </c>
      <c r="G267" s="2">
        <v>9</v>
      </c>
      <c r="H267" s="2">
        <v>19</v>
      </c>
      <c r="I267" s="2">
        <v>36</v>
      </c>
      <c r="J267" s="2">
        <v>52</v>
      </c>
      <c r="K267" s="2">
        <v>93</v>
      </c>
      <c r="L267" s="1">
        <f t="shared" si="251"/>
        <v>109.98113207547172</v>
      </c>
      <c r="M267" s="1">
        <f t="shared" si="251"/>
        <v>126.96226415094338</v>
      </c>
      <c r="N267" s="1">
        <f t="shared" si="251"/>
        <v>139.69811320754712</v>
      </c>
      <c r="O267" s="1">
        <f t="shared" si="251"/>
        <v>152.43396226415086</v>
      </c>
      <c r="P267" s="1">
        <f t="shared" si="251"/>
        <v>165.1698113207546</v>
      </c>
      <c r="Q267" s="1">
        <f t="shared" si="251"/>
        <v>177.90566037735834</v>
      </c>
      <c r="R267" s="1">
        <f t="shared" si="251"/>
        <v>186.39622641509419</v>
      </c>
      <c r="S267" s="1">
        <f t="shared" si="251"/>
        <v>194.88679245283004</v>
      </c>
      <c r="T267" s="1">
        <f t="shared" si="251"/>
        <v>203.37735849056588</v>
      </c>
      <c r="U267" s="1">
        <f t="shared" si="251"/>
        <v>211.86792452830173</v>
      </c>
      <c r="X267" s="2">
        <v>12</v>
      </c>
      <c r="Y267" s="2">
        <v>19</v>
      </c>
      <c r="Z267" s="2">
        <v>25</v>
      </c>
      <c r="AA267" s="2">
        <v>36</v>
      </c>
      <c r="AB267" s="2">
        <v>43</v>
      </c>
      <c r="AC267" s="2">
        <v>52</v>
      </c>
      <c r="AD267" s="2">
        <v>67</v>
      </c>
      <c r="AE267" s="2">
        <v>93</v>
      </c>
    </row>
    <row r="269" spans="2:31" s="23" customFormat="1" ht="19">
      <c r="C269" s="33" t="s">
        <v>30</v>
      </c>
      <c r="G269" s="8">
        <f t="shared" ref="G269:U273" si="252">G263/F263-1</f>
        <v>0.20547945205479445</v>
      </c>
      <c r="H269" s="8">
        <f t="shared" si="252"/>
        <v>0.55113636363636354</v>
      </c>
      <c r="I269" s="8">
        <f t="shared" si="252"/>
        <v>0.70695970695970689</v>
      </c>
      <c r="J269" s="8">
        <f t="shared" si="252"/>
        <v>0.64806866952789699</v>
      </c>
      <c r="K269" s="8">
        <f t="shared" si="252"/>
        <v>0.69010416666666674</v>
      </c>
      <c r="L269" s="8">
        <f t="shared" si="252"/>
        <v>0.30816640986132504</v>
      </c>
      <c r="M269" s="8">
        <f t="shared" si="252"/>
        <v>0.23557126030624254</v>
      </c>
      <c r="N269" s="8">
        <f t="shared" si="252"/>
        <v>0.14299332697807432</v>
      </c>
      <c r="O269" s="8">
        <f t="shared" si="252"/>
        <v>0.12510425354462051</v>
      </c>
      <c r="P269" s="8">
        <f t="shared" si="252"/>
        <v>0.11119347664936985</v>
      </c>
      <c r="Q269" s="8">
        <f t="shared" si="252"/>
        <v>0.10006671114076049</v>
      </c>
      <c r="R269" s="8">
        <f t="shared" si="252"/>
        <v>6.0642813826561559E-2</v>
      </c>
      <c r="S269" s="8">
        <f t="shared" si="252"/>
        <v>5.717552887364219E-2</v>
      </c>
      <c r="T269" s="8">
        <f t="shared" si="252"/>
        <v>5.4083288263926388E-2</v>
      </c>
      <c r="U269" s="8">
        <f t="shared" si="252"/>
        <v>5.1308363263211865E-2</v>
      </c>
      <c r="Z269" s="8">
        <f>Z263/X263-1</f>
        <v>0.67980295566502469</v>
      </c>
      <c r="AA269" s="8">
        <f t="shared" ref="AA269:AE273" si="253">AA263/Y263-1</f>
        <v>0.70695970695970689</v>
      </c>
      <c r="AB269" s="8">
        <f t="shared" si="253"/>
        <v>0.73900293255131966</v>
      </c>
      <c r="AC269" s="8">
        <f t="shared" si="253"/>
        <v>0.64806866952789699</v>
      </c>
      <c r="AD269" s="8">
        <f t="shared" si="253"/>
        <v>0.57672849915682978</v>
      </c>
      <c r="AE269" s="8">
        <f t="shared" si="253"/>
        <v>0.69010416666666674</v>
      </c>
    </row>
    <row r="270" spans="2:31" s="23" customFormat="1">
      <c r="C270" s="23" t="s">
        <v>187</v>
      </c>
      <c r="G270" s="8">
        <f>G264/F264-1</f>
        <v>0.10000000000000009</v>
      </c>
      <c r="H270" s="8">
        <f t="shared" si="252"/>
        <v>0.18181818181818188</v>
      </c>
      <c r="I270" s="8">
        <f t="shared" si="252"/>
        <v>0.63076923076923075</v>
      </c>
      <c r="J270" s="8">
        <f t="shared" si="252"/>
        <v>0.79245283018867929</v>
      </c>
      <c r="K270" s="8">
        <f t="shared" si="252"/>
        <v>0.34210526315789469</v>
      </c>
      <c r="L270" s="8">
        <f t="shared" si="252"/>
        <v>0.17669256381798015</v>
      </c>
      <c r="M270" s="8">
        <f t="shared" si="252"/>
        <v>0.13682952901968193</v>
      </c>
      <c r="N270" s="8">
        <f t="shared" si="252"/>
        <v>8.1475745339897099E-2</v>
      </c>
      <c r="O270" s="8">
        <f t="shared" si="252"/>
        <v>6.7205400981996677E-2</v>
      </c>
      <c r="P270" s="8">
        <f t="shared" si="252"/>
        <v>5.5353206172721103E-2</v>
      </c>
      <c r="Q270" s="8">
        <f t="shared" si="252"/>
        <v>5.2449934153762312E-2</v>
      </c>
      <c r="R270" s="8">
        <f t="shared" si="252"/>
        <v>3.3224024853296452E-2</v>
      </c>
      <c r="S270" s="8">
        <f t="shared" si="252"/>
        <v>3.2155683621481579E-2</v>
      </c>
      <c r="T270" s="8">
        <f t="shared" si="252"/>
        <v>3.1153908399417451E-2</v>
      </c>
      <c r="U270" s="8">
        <f t="shared" si="252"/>
        <v>3.0212665777289427E-2</v>
      </c>
      <c r="Z270" s="8">
        <f t="shared" ref="Z270:Z273" si="254">Z264/X264-1</f>
        <v>0.36842105263157898</v>
      </c>
      <c r="AA270" s="8">
        <f t="shared" si="253"/>
        <v>0.63076923076923075</v>
      </c>
      <c r="AB270" s="8">
        <f t="shared" si="253"/>
        <v>0.87179487179487181</v>
      </c>
      <c r="AC270" s="8">
        <f t="shared" si="253"/>
        <v>0.79245283018867929</v>
      </c>
      <c r="AD270" s="8">
        <f t="shared" si="253"/>
        <v>0.45205479452054798</v>
      </c>
      <c r="AE270" s="8">
        <f t="shared" si="253"/>
        <v>0.34210526315789469</v>
      </c>
    </row>
    <row r="271" spans="2:31" s="23" customFormat="1">
      <c r="C271" s="23" t="s">
        <v>188</v>
      </c>
      <c r="G271" s="8">
        <f t="shared" ref="G271:J273" si="255">G265/F265-1</f>
        <v>0.16901408450704225</v>
      </c>
      <c r="H271" s="8">
        <f t="shared" si="255"/>
        <v>0.44578313253012047</v>
      </c>
      <c r="I271" s="8">
        <f t="shared" si="255"/>
        <v>0.72500000000000009</v>
      </c>
      <c r="J271" s="8">
        <f t="shared" si="255"/>
        <v>0.60386473429951693</v>
      </c>
      <c r="K271" s="8">
        <f t="shared" si="252"/>
        <v>0.50301204819277112</v>
      </c>
      <c r="L271" s="8">
        <f t="shared" si="252"/>
        <v>0.28056112224448904</v>
      </c>
      <c r="M271" s="8">
        <f t="shared" si="252"/>
        <v>0.21909233176838816</v>
      </c>
      <c r="N271" s="8">
        <f t="shared" si="252"/>
        <v>0.13478818998716302</v>
      </c>
      <c r="O271" s="8">
        <f t="shared" si="252"/>
        <v>0.11877828054298645</v>
      </c>
      <c r="P271" s="8">
        <f t="shared" si="252"/>
        <v>0.10616784630940335</v>
      </c>
      <c r="Q271" s="8">
        <f t="shared" si="252"/>
        <v>9.5978062157221267E-2</v>
      </c>
      <c r="R271" s="8">
        <f t="shared" si="252"/>
        <v>5.8381984987489588E-2</v>
      </c>
      <c r="S271" s="8">
        <f t="shared" si="252"/>
        <v>5.5161544523246731E-2</v>
      </c>
      <c r="T271" s="8">
        <f t="shared" si="252"/>
        <v>5.2277819268110592E-2</v>
      </c>
      <c r="U271" s="8">
        <f t="shared" si="252"/>
        <v>4.968062455642297E-2</v>
      </c>
      <c r="Z271" s="8">
        <f t="shared" si="254"/>
        <v>0.61052631578947358</v>
      </c>
      <c r="AA271" s="8">
        <f t="shared" si="253"/>
        <v>0.72500000000000009</v>
      </c>
      <c r="AB271" s="8">
        <f t="shared" si="253"/>
        <v>0.6797385620915033</v>
      </c>
      <c r="AC271" s="8">
        <f t="shared" si="253"/>
        <v>0.60386473429951693</v>
      </c>
      <c r="AD271" s="8">
        <f t="shared" si="253"/>
        <v>0.51361867704280151</v>
      </c>
      <c r="AE271" s="8">
        <f t="shared" si="253"/>
        <v>0.50301204819277112</v>
      </c>
    </row>
    <row r="272" spans="2:31" s="23" customFormat="1">
      <c r="C272" s="23" t="s">
        <v>191</v>
      </c>
      <c r="G272" s="8">
        <f t="shared" si="255"/>
        <v>0.61111111111111116</v>
      </c>
      <c r="H272" s="8">
        <f t="shared" si="255"/>
        <v>1.3793103448275863</v>
      </c>
      <c r="I272" s="8">
        <f t="shared" si="255"/>
        <v>0.69565217391304346</v>
      </c>
      <c r="J272" s="8">
        <f t="shared" si="255"/>
        <v>0.65811965811965822</v>
      </c>
      <c r="K272" s="8">
        <f t="shared" si="252"/>
        <v>1.3247422680412373</v>
      </c>
      <c r="L272" s="8">
        <f t="shared" si="252"/>
        <v>0.4389407187382337</v>
      </c>
      <c r="M272" s="8">
        <f t="shared" si="252"/>
        <v>0.31120802442215445</v>
      </c>
      <c r="N272" s="8">
        <f t="shared" si="252"/>
        <v>0.18153395862435984</v>
      </c>
      <c r="O272" s="8">
        <f t="shared" si="252"/>
        <v>0.15662650602409633</v>
      </c>
      <c r="P272" s="8">
        <f t="shared" si="252"/>
        <v>0.1379964953271029</v>
      </c>
      <c r="Q272" s="8">
        <f t="shared" si="252"/>
        <v>0.12126267162838444</v>
      </c>
      <c r="R272" s="8">
        <f t="shared" si="252"/>
        <v>7.2098878461890559E-2</v>
      </c>
      <c r="S272" s="8">
        <f t="shared" si="252"/>
        <v>6.7250213492741295E-2</v>
      </c>
      <c r="T272" s="8">
        <f t="shared" si="252"/>
        <v>6.3012602520504224E-2</v>
      </c>
      <c r="U272" s="8">
        <f t="shared" si="252"/>
        <v>5.9277380504328292E-2</v>
      </c>
      <c r="Z272" s="8">
        <f t="shared" si="254"/>
        <v>1.1794871794871793</v>
      </c>
      <c r="AA272" s="8">
        <f t="shared" si="253"/>
        <v>0.69565217391304346</v>
      </c>
      <c r="AB272" s="8">
        <f t="shared" si="253"/>
        <v>0.72941176470588243</v>
      </c>
      <c r="AC272" s="8">
        <f t="shared" si="253"/>
        <v>0.65811965811965822</v>
      </c>
      <c r="AD272" s="8">
        <f t="shared" si="253"/>
        <v>0.81632653061224492</v>
      </c>
      <c r="AE272" s="8">
        <f t="shared" si="253"/>
        <v>1.3247422680412373</v>
      </c>
    </row>
    <row r="273" spans="3:31" s="23" customFormat="1">
      <c r="C273" s="23" t="s">
        <v>192</v>
      </c>
      <c r="G273" s="8">
        <f t="shared" si="255"/>
        <v>0.28571428571428581</v>
      </c>
      <c r="H273" s="8">
        <f t="shared" si="255"/>
        <v>1.1111111111111112</v>
      </c>
      <c r="I273" s="8">
        <f t="shared" si="255"/>
        <v>0.89473684210526305</v>
      </c>
      <c r="J273" s="8">
        <f t="shared" si="255"/>
        <v>0.44444444444444442</v>
      </c>
      <c r="K273" s="8">
        <f t="shared" si="252"/>
        <v>0.78846153846153855</v>
      </c>
      <c r="L273" s="8">
        <f t="shared" si="252"/>
        <v>0.18259281801582494</v>
      </c>
      <c r="M273" s="8">
        <f t="shared" si="252"/>
        <v>0.15440041173443086</v>
      </c>
      <c r="N273" s="8">
        <f t="shared" si="252"/>
        <v>0.10031208203299125</v>
      </c>
      <c r="O273" s="8">
        <f t="shared" si="252"/>
        <v>9.1166936790923581E-2</v>
      </c>
      <c r="P273" s="8">
        <f t="shared" si="252"/>
        <v>8.3549944300036927E-2</v>
      </c>
      <c r="Q273" s="8">
        <f t="shared" si="252"/>
        <v>7.7107607950650969E-2</v>
      </c>
      <c r="R273" s="8">
        <f t="shared" si="252"/>
        <v>4.7725103404390623E-2</v>
      </c>
      <c r="S273" s="8">
        <f t="shared" si="252"/>
        <v>4.5551169146674786E-2</v>
      </c>
      <c r="T273" s="8">
        <f t="shared" si="252"/>
        <v>4.3566656985187358E-2</v>
      </c>
      <c r="U273" s="8">
        <f t="shared" si="252"/>
        <v>4.1747843028110188E-2</v>
      </c>
      <c r="Z273" s="8">
        <f t="shared" si="254"/>
        <v>1.0833333333333335</v>
      </c>
      <c r="AA273" s="8">
        <f t="shared" si="253"/>
        <v>0.89473684210526305</v>
      </c>
      <c r="AB273" s="8">
        <f t="shared" si="253"/>
        <v>0.72</v>
      </c>
      <c r="AC273" s="8">
        <f t="shared" si="253"/>
        <v>0.44444444444444442</v>
      </c>
      <c r="AD273" s="8">
        <f t="shared" si="253"/>
        <v>0.55813953488372103</v>
      </c>
      <c r="AE273" s="8">
        <f t="shared" si="253"/>
        <v>0.78846153846153855</v>
      </c>
    </row>
    <row r="275" spans="3:31" s="23" customFormat="1" ht="19">
      <c r="C275" s="33" t="s">
        <v>36</v>
      </c>
    </row>
    <row r="276" spans="3:31" s="23" customFormat="1">
      <c r="C276" s="23" t="s">
        <v>187</v>
      </c>
      <c r="G276" s="8">
        <f>G264/G$263</f>
        <v>0.3125</v>
      </c>
      <c r="H276" s="8">
        <f t="shared" ref="H276:U279" si="256">H264/H$263</f>
        <v>0.23809523809523808</v>
      </c>
      <c r="I276" s="8">
        <f t="shared" si="256"/>
        <v>0.22746781115879827</v>
      </c>
      <c r="J276" s="8">
        <f t="shared" si="256"/>
        <v>0.24739583333333334</v>
      </c>
      <c r="K276" s="8">
        <f t="shared" si="256"/>
        <v>0.19645608628659475</v>
      </c>
      <c r="L276" s="8">
        <f t="shared" si="256"/>
        <v>0.17671178078538571</v>
      </c>
      <c r="M276" s="8">
        <f t="shared" si="256"/>
        <v>0.16258970807777401</v>
      </c>
      <c r="N276" s="8">
        <f t="shared" si="256"/>
        <v>0.15383889089964908</v>
      </c>
      <c r="O276" s="8">
        <f t="shared" si="256"/>
        <v>0.14592220652614796</v>
      </c>
      <c r="P276" s="8">
        <f t="shared" si="256"/>
        <v>0.13858924817803064</v>
      </c>
      <c r="Q276" s="8">
        <f t="shared" si="256"/>
        <v>0.13259036351362175</v>
      </c>
      <c r="R276" s="8">
        <f t="shared" si="256"/>
        <v>0.12916275607624841</v>
      </c>
      <c r="S276" s="8">
        <f t="shared" si="256"/>
        <v>0.12610590120105716</v>
      </c>
      <c r="T276" s="8">
        <f t="shared" si="256"/>
        <v>0.12336273076662439</v>
      </c>
      <c r="U276" s="8">
        <f t="shared" si="256"/>
        <v>0.12088731732920799</v>
      </c>
    </row>
    <row r="277" spans="3:31" s="23" customFormat="1">
      <c r="C277" s="23" t="s">
        <v>188</v>
      </c>
      <c r="G277" s="8">
        <f t="shared" ref="G277:J279" si="257">G265/G$263</f>
        <v>0.47159090909090912</v>
      </c>
      <c r="H277" s="8">
        <f t="shared" si="257"/>
        <v>0.43956043956043955</v>
      </c>
      <c r="I277" s="8">
        <f t="shared" si="257"/>
        <v>0.44420600858369097</v>
      </c>
      <c r="J277" s="8">
        <f t="shared" si="257"/>
        <v>0.43229166666666669</v>
      </c>
      <c r="K277" s="8">
        <f t="shared" si="256"/>
        <v>0.38443759630200308</v>
      </c>
      <c r="L277" s="8">
        <f t="shared" si="256"/>
        <v>0.37632508833922262</v>
      </c>
      <c r="M277" s="8">
        <f t="shared" si="256"/>
        <v>0.3713060057197331</v>
      </c>
      <c r="N277" s="8">
        <f t="shared" si="256"/>
        <v>0.36864053377814848</v>
      </c>
      <c r="O277" s="8">
        <f t="shared" si="256"/>
        <v>0.3665678280207561</v>
      </c>
      <c r="P277" s="8">
        <f t="shared" si="256"/>
        <v>0.36490993995997334</v>
      </c>
      <c r="Q277" s="8">
        <f t="shared" si="256"/>
        <v>0.36355366889023649</v>
      </c>
      <c r="R277" s="8">
        <f t="shared" si="256"/>
        <v>0.362778730703259</v>
      </c>
      <c r="S277" s="8">
        <f t="shared" si="256"/>
        <v>0.36208761492698754</v>
      </c>
      <c r="T277" s="8">
        <f t="shared" si="256"/>
        <v>0.36146741918932784</v>
      </c>
      <c r="U277" s="8">
        <f t="shared" si="256"/>
        <v>0.36090775988286972</v>
      </c>
    </row>
    <row r="278" spans="3:31" s="23" customFormat="1">
      <c r="C278" s="23" t="s">
        <v>191</v>
      </c>
      <c r="G278" s="8">
        <f t="shared" si="257"/>
        <v>0.16477272727272727</v>
      </c>
      <c r="H278" s="8">
        <f t="shared" si="257"/>
        <v>0.25274725274725274</v>
      </c>
      <c r="I278" s="8">
        <f t="shared" si="257"/>
        <v>0.25107296137339058</v>
      </c>
      <c r="J278" s="8">
        <f t="shared" si="257"/>
        <v>0.25260416666666669</v>
      </c>
      <c r="K278" s="8">
        <f t="shared" si="256"/>
        <v>0.34745762711864409</v>
      </c>
      <c r="L278" s="8">
        <f t="shared" si="256"/>
        <v>0.38219214614307617</v>
      </c>
      <c r="M278" s="8">
        <f t="shared" si="256"/>
        <v>0.40558843103045128</v>
      </c>
      <c r="N278" s="8">
        <f t="shared" si="256"/>
        <v>0.4192644814074622</v>
      </c>
      <c r="O278" s="8">
        <f t="shared" si="256"/>
        <v>0.43101109137446331</v>
      </c>
      <c r="P278" s="8">
        <f t="shared" si="256"/>
        <v>0.44140747919996981</v>
      </c>
      <c r="Q278" s="8">
        <f t="shared" si="256"/>
        <v>0.44991246839136362</v>
      </c>
      <c r="R278" s="8">
        <f t="shared" si="256"/>
        <v>0.45477199909382188</v>
      </c>
      <c r="S278" s="8">
        <f t="shared" si="256"/>
        <v>0.45910589099666327</v>
      </c>
      <c r="T278" s="8">
        <f t="shared" si="256"/>
        <v>0.46299505309931571</v>
      </c>
      <c r="U278" s="8">
        <f t="shared" si="256"/>
        <v>0.46650459957457402</v>
      </c>
    </row>
    <row r="279" spans="3:31" s="23" customFormat="1">
      <c r="C279" s="23" t="s">
        <v>192</v>
      </c>
      <c r="G279" s="8">
        <f t="shared" si="257"/>
        <v>5.113636363636364E-2</v>
      </c>
      <c r="H279" s="8">
        <f t="shared" si="257"/>
        <v>6.95970695970696E-2</v>
      </c>
      <c r="I279" s="8">
        <f t="shared" si="257"/>
        <v>7.7253218884120178E-2</v>
      </c>
      <c r="J279" s="8">
        <f t="shared" si="257"/>
        <v>6.7708333333333329E-2</v>
      </c>
      <c r="K279" s="8">
        <f t="shared" si="256"/>
        <v>7.1648690292758083E-2</v>
      </c>
      <c r="L279" s="8">
        <f t="shared" si="256"/>
        <v>6.4770984732315504E-2</v>
      </c>
      <c r="M279" s="8">
        <f t="shared" si="256"/>
        <v>6.0515855172041652E-2</v>
      </c>
      <c r="N279" s="8">
        <f t="shared" si="256"/>
        <v>5.8256093914740251E-2</v>
      </c>
      <c r="O279" s="8">
        <f t="shared" si="256"/>
        <v>5.649887407863264E-2</v>
      </c>
      <c r="P279" s="8">
        <f t="shared" si="256"/>
        <v>5.509333266202622E-2</v>
      </c>
      <c r="Q279" s="8">
        <f t="shared" si="256"/>
        <v>5.3943499204778152E-2</v>
      </c>
      <c r="R279" s="8">
        <f t="shared" si="256"/>
        <v>5.3286514126670723E-2</v>
      </c>
      <c r="S279" s="8">
        <f t="shared" si="256"/>
        <v>5.2700592875292059E-2</v>
      </c>
      <c r="T279" s="8">
        <f t="shared" si="256"/>
        <v>5.2174796944732142E-2</v>
      </c>
      <c r="U279" s="8">
        <f t="shared" si="256"/>
        <v>5.1700323213348394E-2</v>
      </c>
    </row>
    <row r="281" spans="3:31">
      <c r="C281" s="1" t="s">
        <v>107</v>
      </c>
      <c r="F281" s="2">
        <v>112</v>
      </c>
      <c r="G281" s="1">
        <f>F296</f>
        <v>146</v>
      </c>
      <c r="H281" s="1">
        <f t="shared" ref="H281:U281" si="258">G296</f>
        <v>176</v>
      </c>
      <c r="I281" s="1">
        <f t="shared" si="258"/>
        <v>273</v>
      </c>
      <c r="J281" s="1">
        <f t="shared" si="258"/>
        <v>466</v>
      </c>
      <c r="K281" s="1">
        <f t="shared" si="258"/>
        <v>768</v>
      </c>
      <c r="L281" s="1">
        <f t="shared" si="258"/>
        <v>1298</v>
      </c>
      <c r="M281" s="1">
        <f t="shared" si="258"/>
        <v>1698</v>
      </c>
      <c r="N281" s="1">
        <f t="shared" si="258"/>
        <v>2098</v>
      </c>
      <c r="O281" s="1">
        <f t="shared" si="258"/>
        <v>2398</v>
      </c>
      <c r="P281" s="1">
        <f t="shared" si="258"/>
        <v>2698</v>
      </c>
      <c r="Q281" s="1">
        <f t="shared" si="258"/>
        <v>2998</v>
      </c>
      <c r="R281" s="1">
        <f t="shared" si="258"/>
        <v>3298</v>
      </c>
      <c r="S281" s="1">
        <f t="shared" si="258"/>
        <v>3498</v>
      </c>
      <c r="T281" s="1">
        <f t="shared" si="258"/>
        <v>3698</v>
      </c>
      <c r="U281" s="1">
        <f t="shared" si="258"/>
        <v>3898</v>
      </c>
      <c r="Z281" s="1">
        <f t="shared" ref="Z281:AE281" si="259">Y296</f>
        <v>273</v>
      </c>
      <c r="AA281" s="1">
        <f t="shared" si="259"/>
        <v>341</v>
      </c>
      <c r="AB281" s="1">
        <f t="shared" si="259"/>
        <v>466</v>
      </c>
      <c r="AC281" s="1">
        <f t="shared" si="259"/>
        <v>593</v>
      </c>
      <c r="AD281" s="1">
        <f t="shared" si="259"/>
        <v>768</v>
      </c>
      <c r="AE281" s="1">
        <f t="shared" si="259"/>
        <v>935</v>
      </c>
    </row>
    <row r="282" spans="3:31">
      <c r="C282" s="1" t="s">
        <v>193</v>
      </c>
      <c r="F282" s="2">
        <v>36</v>
      </c>
      <c r="G282" s="2">
        <v>32</v>
      </c>
      <c r="H282" s="2">
        <v>98</v>
      </c>
      <c r="I282" s="2">
        <v>200</v>
      </c>
      <c r="J282" s="2">
        <v>308</v>
      </c>
      <c r="K282" s="2">
        <v>544</v>
      </c>
      <c r="L282" s="3">
        <v>400</v>
      </c>
      <c r="M282" s="3">
        <v>400</v>
      </c>
      <c r="N282" s="3">
        <v>300</v>
      </c>
      <c r="O282" s="3">
        <v>300</v>
      </c>
      <c r="P282" s="3">
        <v>300</v>
      </c>
      <c r="Q282" s="3">
        <v>300</v>
      </c>
      <c r="R282" s="3">
        <v>200</v>
      </c>
      <c r="S282" s="3">
        <v>200</v>
      </c>
      <c r="T282" s="3">
        <v>200</v>
      </c>
      <c r="U282" s="3">
        <v>200</v>
      </c>
      <c r="X282" s="2"/>
      <c r="Z282" s="2">
        <v>71</v>
      </c>
      <c r="AA282" s="1">
        <f>I282-Z282</f>
        <v>129</v>
      </c>
      <c r="AB282" s="2">
        <v>130</v>
      </c>
      <c r="AC282" s="1">
        <f>J282-AB282</f>
        <v>178</v>
      </c>
      <c r="AD282" s="2">
        <v>173</v>
      </c>
      <c r="AE282" s="1">
        <f>K282-AD282</f>
        <v>371</v>
      </c>
    </row>
    <row r="283" spans="3:31" s="12" customFormat="1">
      <c r="D283" s="12" t="s">
        <v>194</v>
      </c>
      <c r="F283" s="12">
        <f>F282/F281</f>
        <v>0.32142857142857145</v>
      </c>
      <c r="G283" s="12">
        <f t="shared" ref="G283:U283" si="260">G282/G281</f>
        <v>0.21917808219178081</v>
      </c>
      <c r="H283" s="12">
        <f t="shared" si="260"/>
        <v>0.55681818181818177</v>
      </c>
      <c r="I283" s="12">
        <f t="shared" si="260"/>
        <v>0.73260073260073255</v>
      </c>
      <c r="J283" s="12">
        <f t="shared" si="260"/>
        <v>0.66094420600858372</v>
      </c>
      <c r="K283" s="12">
        <f t="shared" si="260"/>
        <v>0.70833333333333337</v>
      </c>
      <c r="L283" s="12">
        <f t="shared" si="260"/>
        <v>0.3081664098613251</v>
      </c>
      <c r="M283" s="12">
        <f t="shared" si="260"/>
        <v>0.23557126030624265</v>
      </c>
      <c r="N283" s="12">
        <f t="shared" si="260"/>
        <v>0.14299332697807435</v>
      </c>
      <c r="O283" s="12">
        <f t="shared" si="260"/>
        <v>0.12510425354462051</v>
      </c>
      <c r="P283" s="12">
        <f t="shared" si="260"/>
        <v>0.1111934766493699</v>
      </c>
      <c r="Q283" s="12">
        <f t="shared" si="260"/>
        <v>0.1000667111407605</v>
      </c>
      <c r="R283" s="12">
        <f t="shared" si="260"/>
        <v>6.0642813826561552E-2</v>
      </c>
      <c r="S283" s="12">
        <f t="shared" si="260"/>
        <v>5.7175528873642079E-2</v>
      </c>
      <c r="T283" s="12">
        <f t="shared" si="260"/>
        <v>5.4083288263926443E-2</v>
      </c>
      <c r="U283" s="12">
        <f t="shared" si="260"/>
        <v>5.1308363263211906E-2</v>
      </c>
      <c r="AA283" s="12">
        <f t="shared" ref="AA283:AE283" si="261">AA282/AA281</f>
        <v>0.3782991202346041</v>
      </c>
      <c r="AB283" s="12">
        <f t="shared" si="261"/>
        <v>0.27896995708154504</v>
      </c>
      <c r="AC283" s="12">
        <f t="shared" si="261"/>
        <v>0.30016863406408095</v>
      </c>
      <c r="AD283" s="12">
        <f t="shared" si="261"/>
        <v>0.22526041666666666</v>
      </c>
      <c r="AE283" s="12">
        <f t="shared" si="261"/>
        <v>0.39679144385026738</v>
      </c>
    </row>
    <row r="284" spans="3:31">
      <c r="C284" s="1" t="s">
        <v>195</v>
      </c>
      <c r="F284" s="1">
        <f>F296-F282-F281</f>
        <v>-2</v>
      </c>
      <c r="G284" s="1">
        <f>G296-G282-G281</f>
        <v>-2</v>
      </c>
      <c r="H284" s="1">
        <f>H296-H282-H281</f>
        <v>-1</v>
      </c>
      <c r="I284" s="1">
        <f t="shared" ref="I284:K284" si="262">I296-I282-I281</f>
        <v>-7</v>
      </c>
      <c r="J284" s="1">
        <f t="shared" si="262"/>
        <v>-6</v>
      </c>
      <c r="K284" s="1">
        <f t="shared" si="262"/>
        <v>-14</v>
      </c>
      <c r="Z284" s="1">
        <f t="shared" ref="Z284:AC284" si="263">Z296-Z282-Z281</f>
        <v>-3</v>
      </c>
      <c r="AA284" s="1">
        <f t="shared" si="263"/>
        <v>-4</v>
      </c>
      <c r="AB284" s="1">
        <f t="shared" si="263"/>
        <v>-3</v>
      </c>
      <c r="AC284" s="1">
        <f t="shared" si="263"/>
        <v>-3</v>
      </c>
      <c r="AD284" s="1">
        <f>AD296-AD282-AD281</f>
        <v>-6</v>
      </c>
      <c r="AE284" s="1">
        <f t="shared" ref="AE284" si="264">AE296-AE282-AE281</f>
        <v>-8</v>
      </c>
    </row>
    <row r="285" spans="3:31" s="34" customFormat="1">
      <c r="C285" s="34" t="s">
        <v>196</v>
      </c>
      <c r="F285" s="34">
        <f t="shared" ref="F285:I285" si="265">F296-F281</f>
        <v>34</v>
      </c>
      <c r="G285" s="34">
        <f t="shared" si="265"/>
        <v>30</v>
      </c>
      <c r="H285" s="34">
        <f t="shared" si="265"/>
        <v>97</v>
      </c>
      <c r="I285" s="34">
        <f t="shared" si="265"/>
        <v>193</v>
      </c>
      <c r="J285" s="34">
        <f>J296-J281</f>
        <v>302</v>
      </c>
      <c r="K285" s="34">
        <f>K296-K281</f>
        <v>530</v>
      </c>
      <c r="L285" s="34">
        <f t="shared" ref="L285:U285" si="266">L282+L284</f>
        <v>400</v>
      </c>
      <c r="M285" s="34">
        <f t="shared" si="266"/>
        <v>400</v>
      </c>
      <c r="N285" s="34">
        <f t="shared" si="266"/>
        <v>300</v>
      </c>
      <c r="O285" s="34">
        <f t="shared" si="266"/>
        <v>300</v>
      </c>
      <c r="P285" s="34">
        <f t="shared" si="266"/>
        <v>300</v>
      </c>
      <c r="Q285" s="34">
        <f t="shared" si="266"/>
        <v>300</v>
      </c>
      <c r="R285" s="34">
        <f t="shared" si="266"/>
        <v>200</v>
      </c>
      <c r="S285" s="34">
        <f t="shared" si="266"/>
        <v>200</v>
      </c>
      <c r="T285" s="34">
        <f t="shared" si="266"/>
        <v>200</v>
      </c>
      <c r="U285" s="34">
        <f t="shared" si="266"/>
        <v>200</v>
      </c>
      <c r="Z285" s="34">
        <f t="shared" ref="Z285:AE285" si="267">Z296-Z281</f>
        <v>68</v>
      </c>
      <c r="AA285" s="34">
        <f t="shared" si="267"/>
        <v>125</v>
      </c>
      <c r="AB285" s="34">
        <f t="shared" si="267"/>
        <v>127</v>
      </c>
      <c r="AC285" s="34">
        <f t="shared" si="267"/>
        <v>175</v>
      </c>
      <c r="AD285" s="34">
        <f t="shared" si="267"/>
        <v>167</v>
      </c>
      <c r="AE285" s="34">
        <f t="shared" si="267"/>
        <v>363</v>
      </c>
    </row>
    <row r="286" spans="3:31" s="35" customFormat="1" outlineLevel="1">
      <c r="D286" s="35" t="s">
        <v>187</v>
      </c>
      <c r="G286" s="35">
        <f t="shared" ref="G286:K289" si="268">G264-F264</f>
        <v>5</v>
      </c>
      <c r="H286" s="35">
        <f t="shared" si="268"/>
        <v>10</v>
      </c>
      <c r="I286" s="35">
        <f t="shared" si="268"/>
        <v>41</v>
      </c>
      <c r="J286" s="35">
        <f t="shared" si="268"/>
        <v>84</v>
      </c>
      <c r="K286" s="35">
        <f t="shared" si="268"/>
        <v>65</v>
      </c>
      <c r="L286" s="35">
        <f t="shared" ref="L286:U289" si="269">L$285*L292</f>
        <v>45.056603773584911</v>
      </c>
      <c r="M286" s="35">
        <f t="shared" si="269"/>
        <v>41.056603773584911</v>
      </c>
      <c r="N286" s="35">
        <f t="shared" si="269"/>
        <v>27.792452830188683</v>
      </c>
      <c r="O286" s="35">
        <f t="shared" si="269"/>
        <v>24.792452830188687</v>
      </c>
      <c r="P286" s="35">
        <f t="shared" si="269"/>
        <v>21.792452830188687</v>
      </c>
      <c r="Q286" s="35">
        <f t="shared" si="269"/>
        <v>21.792452830188687</v>
      </c>
      <c r="R286" s="35">
        <f t="shared" si="269"/>
        <v>14.528301886792457</v>
      </c>
      <c r="S286" s="35">
        <f t="shared" si="269"/>
        <v>14.528301886792457</v>
      </c>
      <c r="T286" s="35">
        <f t="shared" si="269"/>
        <v>14.528301886792457</v>
      </c>
      <c r="U286" s="35">
        <f t="shared" si="269"/>
        <v>14.528301886792457</v>
      </c>
      <c r="Z286" s="35">
        <f t="shared" ref="Z286:AE289" si="270">Z264-Y264</f>
        <v>13</v>
      </c>
      <c r="AA286" s="35">
        <f t="shared" si="270"/>
        <v>28</v>
      </c>
      <c r="AB286" s="35">
        <f t="shared" si="270"/>
        <v>40</v>
      </c>
      <c r="AC286" s="35">
        <f t="shared" si="270"/>
        <v>44</v>
      </c>
      <c r="AD286" s="35">
        <f t="shared" si="270"/>
        <v>22</v>
      </c>
      <c r="AE286" s="35">
        <f t="shared" si="270"/>
        <v>43</v>
      </c>
    </row>
    <row r="287" spans="3:31" s="35" customFormat="1" outlineLevel="1">
      <c r="D287" s="35" t="s">
        <v>188</v>
      </c>
      <c r="G287" s="35">
        <f t="shared" si="268"/>
        <v>12</v>
      </c>
      <c r="H287" s="35">
        <f t="shared" si="268"/>
        <v>37</v>
      </c>
      <c r="I287" s="35">
        <f t="shared" si="268"/>
        <v>87</v>
      </c>
      <c r="J287" s="35">
        <f t="shared" si="268"/>
        <v>125</v>
      </c>
      <c r="K287" s="35">
        <f t="shared" si="268"/>
        <v>167</v>
      </c>
      <c r="L287" s="35">
        <f t="shared" si="269"/>
        <v>140</v>
      </c>
      <c r="M287" s="35">
        <f t="shared" si="269"/>
        <v>140</v>
      </c>
      <c r="N287" s="35">
        <f t="shared" si="269"/>
        <v>105</v>
      </c>
      <c r="O287" s="35">
        <f t="shared" si="269"/>
        <v>105</v>
      </c>
      <c r="P287" s="35">
        <f t="shared" si="269"/>
        <v>105</v>
      </c>
      <c r="Q287" s="35">
        <f t="shared" si="269"/>
        <v>105</v>
      </c>
      <c r="R287" s="35">
        <f t="shared" si="269"/>
        <v>70</v>
      </c>
      <c r="S287" s="35">
        <f t="shared" si="269"/>
        <v>70</v>
      </c>
      <c r="T287" s="35">
        <f t="shared" si="269"/>
        <v>70</v>
      </c>
      <c r="U287" s="35">
        <f t="shared" si="269"/>
        <v>70</v>
      </c>
      <c r="Z287" s="35">
        <f t="shared" si="270"/>
        <v>33</v>
      </c>
      <c r="AA287" s="35">
        <f t="shared" si="270"/>
        <v>54</v>
      </c>
      <c r="AB287" s="35">
        <f t="shared" si="270"/>
        <v>50</v>
      </c>
      <c r="AC287" s="35">
        <f t="shared" si="270"/>
        <v>75</v>
      </c>
      <c r="AD287" s="35">
        <f t="shared" si="270"/>
        <v>57</v>
      </c>
      <c r="AE287" s="35">
        <f t="shared" si="270"/>
        <v>110</v>
      </c>
    </row>
    <row r="288" spans="3:31" s="35" customFormat="1" outlineLevel="1">
      <c r="D288" s="35" t="s">
        <v>191</v>
      </c>
      <c r="G288" s="35">
        <f t="shared" si="268"/>
        <v>11</v>
      </c>
      <c r="H288" s="35">
        <f t="shared" si="268"/>
        <v>40</v>
      </c>
      <c r="I288" s="35">
        <f t="shared" si="268"/>
        <v>48</v>
      </c>
      <c r="J288" s="35">
        <f t="shared" si="268"/>
        <v>77</v>
      </c>
      <c r="K288" s="35">
        <f t="shared" si="268"/>
        <v>257</v>
      </c>
      <c r="L288" s="35">
        <f t="shared" si="269"/>
        <v>197.96226415094341</v>
      </c>
      <c r="M288" s="35">
        <f t="shared" si="269"/>
        <v>201.96226415094341</v>
      </c>
      <c r="N288" s="35">
        <f t="shared" si="269"/>
        <v>154.47169811320757</v>
      </c>
      <c r="O288" s="35">
        <f t="shared" si="269"/>
        <v>157.47169811320757</v>
      </c>
      <c r="P288" s="35">
        <f t="shared" si="269"/>
        <v>160.47169811320757</v>
      </c>
      <c r="Q288" s="35">
        <f t="shared" si="269"/>
        <v>160.47169811320757</v>
      </c>
      <c r="R288" s="35">
        <f t="shared" si="269"/>
        <v>106.98113207547171</v>
      </c>
      <c r="S288" s="35">
        <f t="shared" si="269"/>
        <v>106.98113207547171</v>
      </c>
      <c r="T288" s="35">
        <f t="shared" si="269"/>
        <v>106.98113207547171</v>
      </c>
      <c r="U288" s="35">
        <f t="shared" si="269"/>
        <v>106.98113207547171</v>
      </c>
      <c r="Z288" s="35">
        <f t="shared" si="270"/>
        <v>16</v>
      </c>
      <c r="AA288" s="35">
        <f t="shared" si="270"/>
        <v>32</v>
      </c>
      <c r="AB288" s="35">
        <f t="shared" si="270"/>
        <v>30</v>
      </c>
      <c r="AC288" s="35">
        <f t="shared" si="270"/>
        <v>47</v>
      </c>
      <c r="AD288" s="35">
        <f t="shared" si="270"/>
        <v>73</v>
      </c>
      <c r="AE288" s="35">
        <f t="shared" si="270"/>
        <v>184</v>
      </c>
    </row>
    <row r="289" spans="2:31" s="35" customFormat="1" outlineLevel="1">
      <c r="D289" s="35" t="s">
        <v>192</v>
      </c>
      <c r="G289" s="35">
        <f t="shared" si="268"/>
        <v>2</v>
      </c>
      <c r="H289" s="35">
        <f t="shared" si="268"/>
        <v>10</v>
      </c>
      <c r="I289" s="35">
        <f t="shared" si="268"/>
        <v>17</v>
      </c>
      <c r="J289" s="35">
        <f t="shared" si="268"/>
        <v>16</v>
      </c>
      <c r="K289" s="35">
        <f t="shared" si="268"/>
        <v>41</v>
      </c>
      <c r="L289" s="35">
        <f t="shared" si="269"/>
        <v>16.981132075471717</v>
      </c>
      <c r="M289" s="35">
        <f t="shared" si="269"/>
        <v>16.98113207547167</v>
      </c>
      <c r="N289" s="35">
        <f t="shared" si="269"/>
        <v>12.735849056603755</v>
      </c>
      <c r="O289" s="35">
        <f t="shared" si="269"/>
        <v>12.735849056603755</v>
      </c>
      <c r="P289" s="35">
        <f t="shared" si="269"/>
        <v>12.735849056603755</v>
      </c>
      <c r="Q289" s="35">
        <f t="shared" si="269"/>
        <v>12.735849056603755</v>
      </c>
      <c r="R289" s="35">
        <f t="shared" si="269"/>
        <v>8.4905660377358352</v>
      </c>
      <c r="S289" s="35">
        <f t="shared" si="269"/>
        <v>8.4905660377358352</v>
      </c>
      <c r="T289" s="35">
        <f t="shared" si="269"/>
        <v>8.4905660377358352</v>
      </c>
      <c r="U289" s="35">
        <f t="shared" si="269"/>
        <v>8.4905660377358352</v>
      </c>
      <c r="Z289" s="35">
        <f t="shared" si="270"/>
        <v>6</v>
      </c>
      <c r="AA289" s="35">
        <f t="shared" si="270"/>
        <v>11</v>
      </c>
      <c r="AB289" s="35">
        <f t="shared" si="270"/>
        <v>7</v>
      </c>
      <c r="AC289" s="35">
        <f t="shared" si="270"/>
        <v>9</v>
      </c>
      <c r="AD289" s="35">
        <f t="shared" si="270"/>
        <v>15</v>
      </c>
      <c r="AE289" s="35">
        <f t="shared" si="270"/>
        <v>26</v>
      </c>
    </row>
    <row r="290" spans="2:31" s="35" customFormat="1" outlineLevel="1"/>
    <row r="291" spans="2:31" s="35" customFormat="1" ht="19" outlineLevel="1">
      <c r="D291" s="36" t="s">
        <v>36</v>
      </c>
    </row>
    <row r="292" spans="2:31" s="35" customFormat="1" outlineLevel="1">
      <c r="D292" s="35" t="s">
        <v>187</v>
      </c>
      <c r="G292" s="37">
        <f t="shared" ref="G292:K295" si="271">G286/G$285</f>
        <v>0.16666666666666666</v>
      </c>
      <c r="H292" s="37">
        <f t="shared" si="271"/>
        <v>0.10309278350515463</v>
      </c>
      <c r="I292" s="37">
        <f t="shared" si="271"/>
        <v>0.21243523316062177</v>
      </c>
      <c r="J292" s="37">
        <f>J286/J$285</f>
        <v>0.27814569536423839</v>
      </c>
      <c r="K292" s="37">
        <f>K286/K$285</f>
        <v>0.12264150943396226</v>
      </c>
      <c r="L292" s="38">
        <f>K292-1%</f>
        <v>0.11264150943396227</v>
      </c>
      <c r="M292" s="38">
        <f t="shared" ref="M292:P292" si="272">L292-1%</f>
        <v>0.10264150943396227</v>
      </c>
      <c r="N292" s="38">
        <f t="shared" si="272"/>
        <v>9.264150943396228E-2</v>
      </c>
      <c r="O292" s="38">
        <f t="shared" si="272"/>
        <v>8.2641509433962285E-2</v>
      </c>
      <c r="P292" s="38">
        <f t="shared" si="272"/>
        <v>7.264150943396229E-2</v>
      </c>
      <c r="Q292" s="38">
        <f>P292</f>
        <v>7.264150943396229E-2</v>
      </c>
      <c r="R292" s="38">
        <f t="shared" ref="R292:U292" si="273">Q292</f>
        <v>7.264150943396229E-2</v>
      </c>
      <c r="S292" s="38">
        <f t="shared" si="273"/>
        <v>7.264150943396229E-2</v>
      </c>
      <c r="T292" s="38">
        <f t="shared" si="273"/>
        <v>7.264150943396229E-2</v>
      </c>
      <c r="U292" s="38">
        <f t="shared" si="273"/>
        <v>7.264150943396229E-2</v>
      </c>
      <c r="Z292" s="37">
        <f t="shared" ref="Z292:AE295" si="274">Z286/Z$285</f>
        <v>0.19117647058823528</v>
      </c>
      <c r="AA292" s="37">
        <f t="shared" si="274"/>
        <v>0.224</v>
      </c>
      <c r="AB292" s="37">
        <f t="shared" si="274"/>
        <v>0.31496062992125984</v>
      </c>
      <c r="AC292" s="37">
        <f t="shared" si="274"/>
        <v>0.25142857142857145</v>
      </c>
      <c r="AD292" s="37">
        <f>AD286/AD$285</f>
        <v>0.1317365269461078</v>
      </c>
      <c r="AE292" s="37">
        <f>AE286/AE$285</f>
        <v>0.1184573002754821</v>
      </c>
    </row>
    <row r="293" spans="2:31" s="35" customFormat="1" outlineLevel="1">
      <c r="D293" s="35" t="s">
        <v>188</v>
      </c>
      <c r="G293" s="37">
        <f t="shared" si="271"/>
        <v>0.4</v>
      </c>
      <c r="H293" s="37">
        <f t="shared" si="271"/>
        <v>0.38144329896907214</v>
      </c>
      <c r="I293" s="37">
        <f t="shared" si="271"/>
        <v>0.45077720207253885</v>
      </c>
      <c r="J293" s="37">
        <f t="shared" si="271"/>
        <v>0.41390728476821192</v>
      </c>
      <c r="K293" s="37">
        <f t="shared" si="271"/>
        <v>0.31509433962264149</v>
      </c>
      <c r="L293" s="38">
        <v>0.35</v>
      </c>
      <c r="M293" s="38">
        <v>0.35</v>
      </c>
      <c r="N293" s="38">
        <v>0.35</v>
      </c>
      <c r="O293" s="38">
        <v>0.35</v>
      </c>
      <c r="P293" s="38">
        <v>0.35</v>
      </c>
      <c r="Q293" s="38">
        <v>0.35</v>
      </c>
      <c r="R293" s="38">
        <v>0.35</v>
      </c>
      <c r="S293" s="38">
        <v>0.35</v>
      </c>
      <c r="T293" s="38">
        <v>0.35</v>
      </c>
      <c r="U293" s="38">
        <v>0.35</v>
      </c>
      <c r="Z293" s="37">
        <f t="shared" si="274"/>
        <v>0.48529411764705882</v>
      </c>
      <c r="AA293" s="37">
        <f t="shared" si="274"/>
        <v>0.432</v>
      </c>
      <c r="AB293" s="37">
        <f t="shared" si="274"/>
        <v>0.39370078740157483</v>
      </c>
      <c r="AC293" s="37">
        <f t="shared" si="274"/>
        <v>0.42857142857142855</v>
      </c>
      <c r="AD293" s="37">
        <f t="shared" si="274"/>
        <v>0.3413173652694611</v>
      </c>
      <c r="AE293" s="37">
        <f t="shared" si="274"/>
        <v>0.30303030303030304</v>
      </c>
    </row>
    <row r="294" spans="2:31" s="35" customFormat="1" outlineLevel="1">
      <c r="D294" s="35" t="s">
        <v>191</v>
      </c>
      <c r="G294" s="37">
        <f t="shared" si="271"/>
        <v>0.36666666666666664</v>
      </c>
      <c r="H294" s="37">
        <f t="shared" si="271"/>
        <v>0.41237113402061853</v>
      </c>
      <c r="I294" s="37">
        <f t="shared" si="271"/>
        <v>0.24870466321243523</v>
      </c>
      <c r="J294" s="37">
        <f t="shared" si="271"/>
        <v>0.25496688741721857</v>
      </c>
      <c r="K294" s="37">
        <f t="shared" si="271"/>
        <v>0.48490566037735849</v>
      </c>
      <c r="L294" s="38">
        <f>K294+1%</f>
        <v>0.4949056603773585</v>
      </c>
      <c r="M294" s="38">
        <f t="shared" ref="M294:P294" si="275">L294+1%</f>
        <v>0.50490566037735851</v>
      </c>
      <c r="N294" s="38">
        <f t="shared" si="275"/>
        <v>0.51490566037735852</v>
      </c>
      <c r="O294" s="38">
        <f t="shared" si="275"/>
        <v>0.52490566037735853</v>
      </c>
      <c r="P294" s="38">
        <f t="shared" si="275"/>
        <v>0.53490566037735854</v>
      </c>
      <c r="Q294" s="38">
        <f>P294</f>
        <v>0.53490566037735854</v>
      </c>
      <c r="R294" s="38">
        <f t="shared" ref="R294:U294" si="276">Q294</f>
        <v>0.53490566037735854</v>
      </c>
      <c r="S294" s="38">
        <f t="shared" si="276"/>
        <v>0.53490566037735854</v>
      </c>
      <c r="T294" s="38">
        <f t="shared" si="276"/>
        <v>0.53490566037735854</v>
      </c>
      <c r="U294" s="38">
        <f t="shared" si="276"/>
        <v>0.53490566037735854</v>
      </c>
      <c r="Z294" s="37">
        <f t="shared" si="274"/>
        <v>0.23529411764705882</v>
      </c>
      <c r="AA294" s="37">
        <f t="shared" si="274"/>
        <v>0.25600000000000001</v>
      </c>
      <c r="AB294" s="37">
        <f t="shared" si="274"/>
        <v>0.23622047244094488</v>
      </c>
      <c r="AC294" s="37">
        <f t="shared" si="274"/>
        <v>0.26857142857142857</v>
      </c>
      <c r="AD294" s="37">
        <f t="shared" si="274"/>
        <v>0.43712574850299402</v>
      </c>
      <c r="AE294" s="37">
        <f t="shared" si="274"/>
        <v>0.50688705234159781</v>
      </c>
    </row>
    <row r="295" spans="2:31" s="35" customFormat="1" outlineLevel="1">
      <c r="D295" s="35" t="s">
        <v>192</v>
      </c>
      <c r="G295" s="37">
        <f t="shared" si="271"/>
        <v>6.6666666666666666E-2</v>
      </c>
      <c r="H295" s="37">
        <f t="shared" si="271"/>
        <v>0.10309278350515463</v>
      </c>
      <c r="I295" s="37">
        <f t="shared" si="271"/>
        <v>8.8082901554404139E-2</v>
      </c>
      <c r="J295" s="37">
        <f t="shared" si="271"/>
        <v>5.2980132450331126E-2</v>
      </c>
      <c r="K295" s="37">
        <f t="shared" si="271"/>
        <v>7.7358490566037733E-2</v>
      </c>
      <c r="L295" s="37">
        <f t="shared" ref="L295:U295" si="277">1-L292-L293-L294</f>
        <v>4.2452830188679291E-2</v>
      </c>
      <c r="M295" s="37">
        <f t="shared" si="277"/>
        <v>4.245283018867918E-2</v>
      </c>
      <c r="N295" s="37">
        <f t="shared" si="277"/>
        <v>4.245283018867918E-2</v>
      </c>
      <c r="O295" s="37">
        <f t="shared" si="277"/>
        <v>4.245283018867918E-2</v>
      </c>
      <c r="P295" s="37">
        <f t="shared" si="277"/>
        <v>4.245283018867918E-2</v>
      </c>
      <c r="Q295" s="37">
        <f t="shared" si="277"/>
        <v>4.245283018867918E-2</v>
      </c>
      <c r="R295" s="37">
        <f t="shared" si="277"/>
        <v>4.245283018867918E-2</v>
      </c>
      <c r="S295" s="37">
        <f t="shared" si="277"/>
        <v>4.245283018867918E-2</v>
      </c>
      <c r="T295" s="37">
        <f t="shared" si="277"/>
        <v>4.245283018867918E-2</v>
      </c>
      <c r="U295" s="37">
        <f t="shared" si="277"/>
        <v>4.245283018867918E-2</v>
      </c>
      <c r="Z295" s="37">
        <f t="shared" si="274"/>
        <v>8.8235294117647065E-2</v>
      </c>
      <c r="AA295" s="37">
        <f t="shared" si="274"/>
        <v>8.7999999999999995E-2</v>
      </c>
      <c r="AB295" s="37">
        <f t="shared" si="274"/>
        <v>5.5118110236220472E-2</v>
      </c>
      <c r="AC295" s="37">
        <f t="shared" si="274"/>
        <v>5.1428571428571428E-2</v>
      </c>
      <c r="AD295" s="37">
        <f t="shared" si="274"/>
        <v>8.9820359281437126E-2</v>
      </c>
      <c r="AE295" s="37">
        <f t="shared" si="274"/>
        <v>7.1625344352617082E-2</v>
      </c>
    </row>
    <row r="296" spans="2:31">
      <c r="C296" s="1" t="s">
        <v>179</v>
      </c>
      <c r="F296" s="1">
        <f t="shared" ref="F296:I296" si="278">F263</f>
        <v>146</v>
      </c>
      <c r="G296" s="1">
        <f t="shared" si="278"/>
        <v>176</v>
      </c>
      <c r="H296" s="1">
        <f t="shared" si="278"/>
        <v>273</v>
      </c>
      <c r="I296" s="1">
        <f t="shared" si="278"/>
        <v>466</v>
      </c>
      <c r="J296" s="1">
        <f>J263</f>
        <v>768</v>
      </c>
      <c r="K296" s="1">
        <f>K263</f>
        <v>1298</v>
      </c>
      <c r="L296" s="1">
        <f t="shared" ref="L296:U296" si="279">L281+L282+L284</f>
        <v>1698</v>
      </c>
      <c r="M296" s="1">
        <f t="shared" si="279"/>
        <v>2098</v>
      </c>
      <c r="N296" s="1">
        <f t="shared" si="279"/>
        <v>2398</v>
      </c>
      <c r="O296" s="1">
        <f t="shared" si="279"/>
        <v>2698</v>
      </c>
      <c r="P296" s="1">
        <f t="shared" si="279"/>
        <v>2998</v>
      </c>
      <c r="Q296" s="1">
        <f t="shared" si="279"/>
        <v>3298</v>
      </c>
      <c r="R296" s="1">
        <f t="shared" si="279"/>
        <v>3498</v>
      </c>
      <c r="S296" s="1">
        <f t="shared" si="279"/>
        <v>3698</v>
      </c>
      <c r="T296" s="1">
        <f t="shared" si="279"/>
        <v>3898</v>
      </c>
      <c r="U296" s="1">
        <f t="shared" si="279"/>
        <v>4098</v>
      </c>
      <c r="Y296" s="1">
        <f t="shared" ref="Y296:AE296" si="280">Y263</f>
        <v>273</v>
      </c>
      <c r="Z296" s="1">
        <f t="shared" si="280"/>
        <v>341</v>
      </c>
      <c r="AA296" s="1">
        <f t="shared" si="280"/>
        <v>466</v>
      </c>
      <c r="AB296" s="1">
        <f t="shared" si="280"/>
        <v>593</v>
      </c>
      <c r="AC296" s="1">
        <f t="shared" si="280"/>
        <v>768</v>
      </c>
      <c r="AD296" s="1">
        <f t="shared" si="280"/>
        <v>935</v>
      </c>
      <c r="AE296" s="1">
        <f t="shared" si="280"/>
        <v>1298</v>
      </c>
    </row>
    <row r="298" spans="2:31">
      <c r="B298" s="1" t="s">
        <v>197</v>
      </c>
      <c r="F298" s="1">
        <f>F375/F310</f>
        <v>91.738767001225966</v>
      </c>
      <c r="G298" s="1">
        <f>G375/G310</f>
        <v>94.497551919038372</v>
      </c>
      <c r="H298" s="1">
        <f>H375/H310</f>
        <v>97.693416171532036</v>
      </c>
      <c r="I298" s="1">
        <f>I375/I310</f>
        <v>101.06122802510454</v>
      </c>
      <c r="J298" s="1">
        <f>J375/J310</f>
        <v>105.17560806628039</v>
      </c>
      <c r="K298" s="1">
        <f t="shared" ref="K298:U298" si="281">K375/K310</f>
        <v>110.06473229703191</v>
      </c>
      <c r="L298" s="1">
        <f t="shared" si="281"/>
        <v>113.19063165076835</v>
      </c>
      <c r="M298" s="1">
        <f t="shared" si="281"/>
        <v>118.28706834891398</v>
      </c>
      <c r="N298" s="1">
        <f t="shared" si="281"/>
        <v>122.53167235174162</v>
      </c>
      <c r="O298" s="1">
        <f t="shared" si="281"/>
        <v>127.08354391742438</v>
      </c>
      <c r="P298" s="1">
        <f t="shared" si="281"/>
        <v>131.8486150986167</v>
      </c>
      <c r="Q298" s="1">
        <f t="shared" si="281"/>
        <v>136.79480851458038</v>
      </c>
      <c r="R298" s="1">
        <f t="shared" si="281"/>
        <v>141.99574154659226</v>
      </c>
      <c r="S298" s="1">
        <f t="shared" si="281"/>
        <v>147.45292723052214</v>
      </c>
      <c r="T298" s="1">
        <f t="shared" si="281"/>
        <v>153.12375570427852</v>
      </c>
      <c r="U298" s="1">
        <f t="shared" si="281"/>
        <v>159.02470776439523</v>
      </c>
      <c r="X298" s="1">
        <f>X375/X310</f>
        <v>96.97145936616802</v>
      </c>
      <c r="Y298" s="1">
        <f t="shared" ref="Y298:AD298" si="282">Y375/Y310</f>
        <v>98.289900616970556</v>
      </c>
      <c r="Z298" s="1">
        <f t="shared" si="282"/>
        <v>100.2459681132198</v>
      </c>
      <c r="AA298" s="1">
        <f t="shared" si="282"/>
        <v>101.71561649304977</v>
      </c>
      <c r="AB298" s="1">
        <f t="shared" si="282"/>
        <v>104.4256909400615</v>
      </c>
      <c r="AC298" s="1">
        <f t="shared" si="282"/>
        <v>105.78037320504474</v>
      </c>
      <c r="AD298" s="1">
        <f t="shared" si="282"/>
        <v>112.82333771189123</v>
      </c>
    </row>
    <row r="299" spans="2:31">
      <c r="C299" s="1" t="s">
        <v>187</v>
      </c>
      <c r="F299" s="2">
        <v>93.2</v>
      </c>
      <c r="G299" s="2">
        <v>95.3</v>
      </c>
      <c r="H299" s="2">
        <v>98.3</v>
      </c>
      <c r="I299" s="2">
        <v>106.1</v>
      </c>
      <c r="J299" s="2">
        <v>110.1</v>
      </c>
      <c r="K299" s="2">
        <v>116.2</v>
      </c>
      <c r="L299" s="1">
        <f>K299*(1+L305)</f>
        <v>120.84800000000001</v>
      </c>
      <c r="M299" s="1">
        <f t="shared" ref="M299:U299" si="283">L299*(1+M305)</f>
        <v>125.68192000000002</v>
      </c>
      <c r="N299" s="1">
        <f t="shared" si="283"/>
        <v>130.70919680000003</v>
      </c>
      <c r="O299" s="1">
        <f t="shared" si="283"/>
        <v>135.93756467200004</v>
      </c>
      <c r="P299" s="1">
        <f t="shared" si="283"/>
        <v>141.37506725888005</v>
      </c>
      <c r="Q299" s="1">
        <f t="shared" si="283"/>
        <v>147.03006994923527</v>
      </c>
      <c r="R299" s="1">
        <f t="shared" si="283"/>
        <v>152.91127274720469</v>
      </c>
      <c r="S299" s="1">
        <f t="shared" si="283"/>
        <v>159.02772365709288</v>
      </c>
      <c r="T299" s="1">
        <f t="shared" si="283"/>
        <v>165.38883260337658</v>
      </c>
      <c r="U299" s="1">
        <f t="shared" si="283"/>
        <v>172.00438590751165</v>
      </c>
      <c r="X299" s="2">
        <v>101.2</v>
      </c>
      <c r="Y299" s="1">
        <f>Y377/Y311</f>
        <v>95.74447110410118</v>
      </c>
      <c r="Z299" s="2">
        <v>106</v>
      </c>
      <c r="AA299" s="1">
        <f>AA377/AA311</f>
        <v>106.18066949304115</v>
      </c>
      <c r="AB299" s="2">
        <v>110</v>
      </c>
      <c r="AC299" s="1">
        <f>AC377/AC311</f>
        <v>110.17933861440036</v>
      </c>
      <c r="AD299" s="2">
        <v>118.1</v>
      </c>
    </row>
    <row r="300" spans="2:31">
      <c r="C300" s="1" t="s">
        <v>188</v>
      </c>
      <c r="F300" s="2">
        <v>86.1</v>
      </c>
      <c r="G300" s="2">
        <v>88.5</v>
      </c>
      <c r="H300" s="2">
        <v>92.6</v>
      </c>
      <c r="I300" s="2">
        <v>94.8</v>
      </c>
      <c r="J300" s="2">
        <v>99.4</v>
      </c>
      <c r="K300" s="2">
        <v>105.7</v>
      </c>
      <c r="L300" s="1">
        <f t="shared" ref="L300:U302" si="284">K300*(1+L306)</f>
        <v>109.92800000000001</v>
      </c>
      <c r="M300" s="1">
        <f t="shared" si="284"/>
        <v>114.32512000000001</v>
      </c>
      <c r="N300" s="1">
        <f t="shared" si="284"/>
        <v>118.89812480000002</v>
      </c>
      <c r="O300" s="1">
        <f t="shared" si="284"/>
        <v>123.65404979200002</v>
      </c>
      <c r="P300" s="1">
        <f t="shared" si="284"/>
        <v>128.60021178368004</v>
      </c>
      <c r="Q300" s="1">
        <f t="shared" si="284"/>
        <v>133.74422025502724</v>
      </c>
      <c r="R300" s="1">
        <f t="shared" si="284"/>
        <v>139.09398906522833</v>
      </c>
      <c r="S300" s="1">
        <f t="shared" si="284"/>
        <v>144.65774862783746</v>
      </c>
      <c r="T300" s="1">
        <f t="shared" si="284"/>
        <v>150.44405857295098</v>
      </c>
      <c r="U300" s="1">
        <f t="shared" si="284"/>
        <v>156.46182091586903</v>
      </c>
      <c r="X300" s="2">
        <v>90.7</v>
      </c>
      <c r="Y300" s="1">
        <f>Y378/Y312</f>
        <v>94.196676152591934</v>
      </c>
      <c r="Z300" s="2">
        <v>94.2</v>
      </c>
      <c r="AA300" s="1">
        <f>AA378/AA312</f>
        <v>95.312375500136298</v>
      </c>
      <c r="AB300" s="2">
        <v>98.4</v>
      </c>
      <c r="AC300" s="1">
        <f>AC378/AC312</f>
        <v>100.23652640516673</v>
      </c>
      <c r="AD300" s="2">
        <v>107.4</v>
      </c>
    </row>
    <row r="301" spans="2:31">
      <c r="C301" s="1" t="s">
        <v>191</v>
      </c>
      <c r="F301" s="2">
        <v>89.8</v>
      </c>
      <c r="G301" s="2">
        <v>92.8</v>
      </c>
      <c r="H301" s="2">
        <v>94.5</v>
      </c>
      <c r="I301" s="2">
        <v>92.1</v>
      </c>
      <c r="J301" s="2">
        <v>94.9</v>
      </c>
      <c r="K301" s="2">
        <v>100.2</v>
      </c>
      <c r="L301" s="1">
        <f t="shared" si="284"/>
        <v>104.20800000000001</v>
      </c>
      <c r="M301" s="1">
        <f t="shared" si="284"/>
        <v>108.37632000000002</v>
      </c>
      <c r="N301" s="1">
        <f t="shared" si="284"/>
        <v>112.71137280000002</v>
      </c>
      <c r="O301" s="1">
        <f t="shared" si="284"/>
        <v>117.21982771200003</v>
      </c>
      <c r="P301" s="1">
        <f t="shared" si="284"/>
        <v>121.90862082048002</v>
      </c>
      <c r="Q301" s="1">
        <f t="shared" si="284"/>
        <v>126.78496565329922</v>
      </c>
      <c r="R301" s="1">
        <f t="shared" si="284"/>
        <v>131.8563642794312</v>
      </c>
      <c r="S301" s="1">
        <f t="shared" si="284"/>
        <v>137.13061885060847</v>
      </c>
      <c r="T301" s="1">
        <f t="shared" si="284"/>
        <v>142.6158436046328</v>
      </c>
      <c r="U301" s="1">
        <f t="shared" si="284"/>
        <v>148.32047734881812</v>
      </c>
      <c r="X301" s="2">
        <v>90.5</v>
      </c>
      <c r="Y301" s="1">
        <f>Y379/Y313</f>
        <v>97.613010491557219</v>
      </c>
      <c r="Z301" s="2">
        <v>91.8</v>
      </c>
      <c r="AA301" s="1">
        <f>AA379/AA313</f>
        <v>92.313825674965514</v>
      </c>
      <c r="AB301" s="2">
        <v>94.8</v>
      </c>
      <c r="AC301" s="1">
        <f>AC379/AC313</f>
        <v>94.978128196473776</v>
      </c>
      <c r="AD301" s="2">
        <v>101.8</v>
      </c>
    </row>
    <row r="302" spans="2:31">
      <c r="C302" s="1" t="s">
        <v>192</v>
      </c>
      <c r="F302" s="2">
        <v>215.2</v>
      </c>
      <c r="G302" s="2">
        <v>215.4</v>
      </c>
      <c r="H302" s="2">
        <v>179.6</v>
      </c>
      <c r="I302" s="2">
        <v>199.3</v>
      </c>
      <c r="J302" s="2">
        <v>185.3</v>
      </c>
      <c r="K302" s="2">
        <v>192.6</v>
      </c>
      <c r="L302" s="1">
        <f t="shared" si="284"/>
        <v>200.304</v>
      </c>
      <c r="M302" s="1">
        <f t="shared" si="284"/>
        <v>208.31616</v>
      </c>
      <c r="N302" s="1">
        <f t="shared" si="284"/>
        <v>215.60722559999999</v>
      </c>
      <c r="O302" s="1">
        <f t="shared" si="284"/>
        <v>223.15347849599996</v>
      </c>
      <c r="P302" s="1">
        <f t="shared" si="284"/>
        <v>230.96385024335996</v>
      </c>
      <c r="Q302" s="1">
        <f t="shared" si="284"/>
        <v>239.04758500187754</v>
      </c>
      <c r="R302" s="1">
        <f t="shared" si="284"/>
        <v>247.41425047694324</v>
      </c>
      <c r="S302" s="1">
        <f t="shared" si="284"/>
        <v>256.07374924363626</v>
      </c>
      <c r="T302" s="1">
        <f t="shared" si="284"/>
        <v>265.03633046716351</v>
      </c>
      <c r="U302" s="1">
        <f t="shared" si="284"/>
        <v>274.31260203351422</v>
      </c>
      <c r="X302" s="2">
        <v>211.5</v>
      </c>
      <c r="Y302" s="1">
        <f>Y380/Y314</f>
        <v>163.94627654057339</v>
      </c>
      <c r="Z302" s="2">
        <v>196.1</v>
      </c>
      <c r="AA302" s="1">
        <f>AA380/AA314</f>
        <v>201.51511649567243</v>
      </c>
      <c r="AB302" s="2">
        <v>185.5</v>
      </c>
      <c r="AC302" s="1">
        <f>AC380/AC314</f>
        <v>185.15414232366354</v>
      </c>
      <c r="AD302" s="2">
        <v>191.3</v>
      </c>
    </row>
    <row r="304" spans="2:31" s="23" customFormat="1" ht="19">
      <c r="C304" s="33" t="s">
        <v>30</v>
      </c>
      <c r="G304" s="8">
        <f t="shared" ref="G304:U305" si="285">G298/F298-1</f>
        <v>3.0072182219056165E-2</v>
      </c>
      <c r="H304" s="8">
        <f t="shared" si="285"/>
        <v>3.3819545454804478E-2</v>
      </c>
      <c r="I304" s="8">
        <f t="shared" si="285"/>
        <v>3.447327348712248E-2</v>
      </c>
      <c r="J304" s="8">
        <f t="shared" si="285"/>
        <v>4.0711755849174969E-2</v>
      </c>
      <c r="K304" s="8">
        <f t="shared" si="285"/>
        <v>4.6485343138405799E-2</v>
      </c>
      <c r="L304" s="8">
        <f t="shared" si="285"/>
        <v>2.8400553824094787E-2</v>
      </c>
      <c r="M304" s="8">
        <f t="shared" si="285"/>
        <v>4.5025251858915816E-2</v>
      </c>
      <c r="N304" s="8">
        <f t="shared" si="285"/>
        <v>3.5883922579831307E-2</v>
      </c>
      <c r="O304" s="8">
        <f t="shared" si="285"/>
        <v>3.7148530484559794E-2</v>
      </c>
      <c r="P304" s="8">
        <f t="shared" si="285"/>
        <v>3.7495579949269775E-2</v>
      </c>
      <c r="Q304" s="8">
        <f t="shared" si="285"/>
        <v>3.7514185585219462E-2</v>
      </c>
      <c r="R304" s="8">
        <f t="shared" si="285"/>
        <v>3.8019959152598481E-2</v>
      </c>
      <c r="S304" s="8">
        <f t="shared" si="285"/>
        <v>3.8432037640644623E-2</v>
      </c>
      <c r="T304" s="8">
        <f t="shared" si="285"/>
        <v>3.8458568305604679E-2</v>
      </c>
      <c r="U304" s="8">
        <f t="shared" si="285"/>
        <v>3.8537142933673607E-2</v>
      </c>
      <c r="Z304" s="8">
        <f>Z298/X298-1</f>
        <v>3.3767757734645576E-2</v>
      </c>
      <c r="AA304" s="8">
        <f t="shared" ref="AA304:AD308" si="286">AA298/Y298-1</f>
        <v>3.485318282525296E-2</v>
      </c>
      <c r="AB304" s="8">
        <f t="shared" si="286"/>
        <v>4.1694672668740607E-2</v>
      </c>
      <c r="AC304" s="8">
        <f t="shared" si="286"/>
        <v>3.9961972921559452E-2</v>
      </c>
      <c r="AD304" s="8">
        <f t="shared" si="286"/>
        <v>8.041744034664644E-2</v>
      </c>
      <c r="AE304" s="8"/>
    </row>
    <row r="305" spans="2:31" s="23" customFormat="1">
      <c r="C305" s="23" t="s">
        <v>187</v>
      </c>
      <c r="G305" s="8">
        <f>G299/F299-1</f>
        <v>2.2532188841201561E-2</v>
      </c>
      <c r="H305" s="8">
        <f t="shared" si="285"/>
        <v>3.147953830010497E-2</v>
      </c>
      <c r="I305" s="8">
        <f t="shared" si="285"/>
        <v>7.9348931841302095E-2</v>
      </c>
      <c r="J305" s="8">
        <f t="shared" si="285"/>
        <v>3.7700282752120673E-2</v>
      </c>
      <c r="K305" s="8">
        <f t="shared" si="285"/>
        <v>5.5404178019981876E-2</v>
      </c>
      <c r="L305" s="9">
        <v>0.04</v>
      </c>
      <c r="M305" s="9">
        <v>0.04</v>
      </c>
      <c r="N305" s="9">
        <v>0.04</v>
      </c>
      <c r="O305" s="9">
        <v>0.04</v>
      </c>
      <c r="P305" s="9">
        <v>0.04</v>
      </c>
      <c r="Q305" s="9">
        <v>0.04</v>
      </c>
      <c r="R305" s="9">
        <v>0.04</v>
      </c>
      <c r="S305" s="9">
        <v>0.04</v>
      </c>
      <c r="T305" s="9">
        <v>0.04</v>
      </c>
      <c r="U305" s="9">
        <v>0.04</v>
      </c>
      <c r="Z305" s="8">
        <f t="shared" ref="Z305:Z308" si="287">Z299/X299-1</f>
        <v>4.743083003952564E-2</v>
      </c>
      <c r="AA305" s="8">
        <f t="shared" si="286"/>
        <v>0.10900053307091628</v>
      </c>
      <c r="AB305" s="8">
        <f t="shared" si="286"/>
        <v>3.7735849056603765E-2</v>
      </c>
      <c r="AC305" s="8">
        <f t="shared" si="286"/>
        <v>3.7659106318041147E-2</v>
      </c>
      <c r="AD305" s="8">
        <f t="shared" si="286"/>
        <v>7.36363636363635E-2</v>
      </c>
      <c r="AE305" s="8"/>
    </row>
    <row r="306" spans="2:31" s="23" customFormat="1">
      <c r="C306" s="23" t="s">
        <v>188</v>
      </c>
      <c r="G306" s="8">
        <f t="shared" ref="G306:K308" si="288">G300/F300-1</f>
        <v>2.7874564459930307E-2</v>
      </c>
      <c r="H306" s="8">
        <f t="shared" si="288"/>
        <v>4.6327683615819071E-2</v>
      </c>
      <c r="I306" s="8">
        <f t="shared" si="288"/>
        <v>2.3758099352051865E-2</v>
      </c>
      <c r="J306" s="8">
        <f t="shared" si="288"/>
        <v>4.8523206751055037E-2</v>
      </c>
      <c r="K306" s="8">
        <f t="shared" si="288"/>
        <v>6.3380281690140761E-2</v>
      </c>
      <c r="L306" s="9">
        <v>0.04</v>
      </c>
      <c r="M306" s="9">
        <v>0.04</v>
      </c>
      <c r="N306" s="9">
        <v>0.04</v>
      </c>
      <c r="O306" s="9">
        <v>0.04</v>
      </c>
      <c r="P306" s="9">
        <v>0.04</v>
      </c>
      <c r="Q306" s="9">
        <v>0.04</v>
      </c>
      <c r="R306" s="9">
        <v>0.04</v>
      </c>
      <c r="S306" s="9">
        <v>0.04</v>
      </c>
      <c r="T306" s="9">
        <v>0.04</v>
      </c>
      <c r="U306" s="9">
        <v>0.04</v>
      </c>
      <c r="Z306" s="8">
        <f t="shared" si="287"/>
        <v>3.8588754134509351E-2</v>
      </c>
      <c r="AA306" s="8">
        <f t="shared" si="286"/>
        <v>1.1844360046600944E-2</v>
      </c>
      <c r="AB306" s="8">
        <f t="shared" si="286"/>
        <v>4.4585987261146487E-2</v>
      </c>
      <c r="AC306" s="8">
        <f t="shared" si="286"/>
        <v>5.1663290094195569E-2</v>
      </c>
      <c r="AD306" s="8">
        <f t="shared" si="286"/>
        <v>9.1463414634146423E-2</v>
      </c>
      <c r="AE306" s="8"/>
    </row>
    <row r="307" spans="2:31" s="23" customFormat="1">
      <c r="C307" s="23" t="s">
        <v>191</v>
      </c>
      <c r="G307" s="8">
        <f t="shared" si="288"/>
        <v>3.3407572383073569E-2</v>
      </c>
      <c r="H307" s="8">
        <f t="shared" si="288"/>
        <v>1.8318965517241326E-2</v>
      </c>
      <c r="I307" s="8">
        <f t="shared" si="288"/>
        <v>-2.5396825396825418E-2</v>
      </c>
      <c r="J307" s="8">
        <f t="shared" si="288"/>
        <v>3.0401737242128357E-2</v>
      </c>
      <c r="K307" s="8">
        <f t="shared" si="288"/>
        <v>5.5848261327713367E-2</v>
      </c>
      <c r="L307" s="9">
        <v>0.04</v>
      </c>
      <c r="M307" s="9">
        <v>0.04</v>
      </c>
      <c r="N307" s="9">
        <v>0.04</v>
      </c>
      <c r="O307" s="9">
        <v>0.04</v>
      </c>
      <c r="P307" s="9">
        <v>0.04</v>
      </c>
      <c r="Q307" s="9">
        <v>0.04</v>
      </c>
      <c r="R307" s="9">
        <v>0.04</v>
      </c>
      <c r="S307" s="9">
        <v>0.04</v>
      </c>
      <c r="T307" s="9">
        <v>0.04</v>
      </c>
      <c r="U307" s="9">
        <v>0.04</v>
      </c>
      <c r="Z307" s="8">
        <f t="shared" si="287"/>
        <v>1.436464088397793E-2</v>
      </c>
      <c r="AA307" s="8">
        <f t="shared" si="286"/>
        <v>-5.4287689621559609E-2</v>
      </c>
      <c r="AB307" s="8">
        <f t="shared" si="286"/>
        <v>3.2679738562091609E-2</v>
      </c>
      <c r="AC307" s="8">
        <f t="shared" si="286"/>
        <v>2.8861359628721273E-2</v>
      </c>
      <c r="AD307" s="8">
        <f t="shared" si="286"/>
        <v>7.3839662447257481E-2</v>
      </c>
      <c r="AE307" s="8"/>
    </row>
    <row r="308" spans="2:31" s="23" customFormat="1">
      <c r="C308" s="23" t="s">
        <v>192</v>
      </c>
      <c r="G308" s="8">
        <f t="shared" si="288"/>
        <v>9.2936802973975219E-4</v>
      </c>
      <c r="H308" s="8">
        <f t="shared" si="288"/>
        <v>-0.16620241411327763</v>
      </c>
      <c r="I308" s="8">
        <f t="shared" si="288"/>
        <v>0.10968819599109136</v>
      </c>
      <c r="J308" s="8">
        <f t="shared" si="288"/>
        <v>-7.0245860511791269E-2</v>
      </c>
      <c r="K308" s="8">
        <f t="shared" si="288"/>
        <v>3.9395574743658734E-2</v>
      </c>
      <c r="L308" s="9">
        <v>0.04</v>
      </c>
      <c r="M308" s="9">
        <v>0.04</v>
      </c>
      <c r="N308" s="9">
        <v>3.5000000000000003E-2</v>
      </c>
      <c r="O308" s="9">
        <v>3.5000000000000003E-2</v>
      </c>
      <c r="P308" s="9">
        <v>3.5000000000000003E-2</v>
      </c>
      <c r="Q308" s="9">
        <v>3.5000000000000003E-2</v>
      </c>
      <c r="R308" s="9">
        <v>3.5000000000000003E-2</v>
      </c>
      <c r="S308" s="9">
        <v>3.5000000000000003E-2</v>
      </c>
      <c r="T308" s="9">
        <v>3.5000000000000003E-2</v>
      </c>
      <c r="U308" s="9">
        <v>3.5000000000000003E-2</v>
      </c>
      <c r="Z308" s="8">
        <f t="shared" si="287"/>
        <v>-7.2813238770685573E-2</v>
      </c>
      <c r="AA308" s="8">
        <f t="shared" si="286"/>
        <v>0.22915335894073507</v>
      </c>
      <c r="AB308" s="8">
        <f t="shared" si="286"/>
        <v>-5.4054054054054057E-2</v>
      </c>
      <c r="AC308" s="8">
        <f t="shared" si="286"/>
        <v>-8.1189810752287928E-2</v>
      </c>
      <c r="AD308" s="8">
        <f t="shared" si="286"/>
        <v>3.126684636118604E-2</v>
      </c>
      <c r="AE308" s="8"/>
    </row>
    <row r="310" spans="2:31" s="6" customFormat="1">
      <c r="B310" s="6" t="s">
        <v>198</v>
      </c>
      <c r="F310" s="6">
        <f t="shared" ref="F310:I310" si="289">F311+F312+F313+F314</f>
        <v>63.044350704241651</v>
      </c>
      <c r="G310" s="6">
        <f t="shared" si="289"/>
        <v>81.090502816043539</v>
      </c>
      <c r="H310" s="6">
        <f t="shared" si="289"/>
        <v>106.57789857321066</v>
      </c>
      <c r="I310" s="6">
        <f t="shared" si="289"/>
        <v>163.58104213708322</v>
      </c>
      <c r="J310" s="6">
        <f>J311+J312+J313+J314</f>
        <v>244.13820344940081</v>
      </c>
      <c r="K310" s="6">
        <f>K311+K312+K313+K314</f>
        <v>250.50156780096498</v>
      </c>
      <c r="L310" s="6">
        <f t="shared" ref="L310:U310" si="290">L311+L312+L313+L314</f>
        <v>550.57654838722669</v>
      </c>
      <c r="M310" s="6">
        <f t="shared" si="290"/>
        <v>695.02717593081979</v>
      </c>
      <c r="N310" s="6">
        <f t="shared" si="290"/>
        <v>787.57653799741684</v>
      </c>
      <c r="O310" s="6">
        <f t="shared" si="290"/>
        <v>859.53670602492548</v>
      </c>
      <c r="P310" s="6">
        <f t="shared" si="290"/>
        <v>926.42956123858232</v>
      </c>
      <c r="Q310" s="6">
        <f t="shared" si="290"/>
        <v>998.02242697222243</v>
      </c>
      <c r="R310" s="6">
        <f t="shared" si="290"/>
        <v>1054.1822491805212</v>
      </c>
      <c r="S310" s="6">
        <f t="shared" si="290"/>
        <v>1095.9337205587681</v>
      </c>
      <c r="T310" s="6">
        <f t="shared" si="290"/>
        <v>1133.9867925364497</v>
      </c>
      <c r="U310" s="6">
        <f t="shared" si="290"/>
        <v>1174.1842906073039</v>
      </c>
      <c r="X310" s="6">
        <f t="shared" ref="X310:AA310" si="291">X311+X312+X313+X314</f>
        <v>48.217589284123903</v>
      </c>
      <c r="Y310" s="6">
        <f t="shared" si="291"/>
        <v>58.360309289086743</v>
      </c>
      <c r="Z310" s="6">
        <f t="shared" si="291"/>
        <v>72.83752291915971</v>
      </c>
      <c r="AA310" s="6">
        <f t="shared" si="291"/>
        <v>90.74351921792352</v>
      </c>
      <c r="AB310" s="6">
        <f>AB311+AB312+AB313+AB314</f>
        <v>108.98959726809635</v>
      </c>
      <c r="AC310" s="6">
        <f>AC311+AC312+AC313+AC314</f>
        <v>135.14860618130444</v>
      </c>
      <c r="AD310" s="6">
        <f>AD311+AD312+AD313+AD314</f>
        <v>81.243084860747899</v>
      </c>
      <c r="AE310" s="6">
        <f>AE311+AE312+AE313+AE314</f>
        <v>169.25848294021708</v>
      </c>
    </row>
    <row r="311" spans="2:31">
      <c r="C311" s="1" t="s">
        <v>187</v>
      </c>
      <c r="F311" s="1">
        <f t="shared" ref="F311:K314" si="292">F377/F299</f>
        <v>24.858336909871245</v>
      </c>
      <c r="G311" s="1">
        <f t="shared" si="292"/>
        <v>28.475897166841555</v>
      </c>
      <c r="H311" s="1">
        <f t="shared" si="292"/>
        <v>30.103997965412006</v>
      </c>
      <c r="I311" s="1">
        <f t="shared" si="292"/>
        <v>38.03628652214892</v>
      </c>
      <c r="J311" s="1">
        <f t="shared" si="292"/>
        <v>58.870345140781112</v>
      </c>
      <c r="K311" s="1">
        <f t="shared" si="292"/>
        <v>51.037753872633395</v>
      </c>
      <c r="L311" s="1">
        <f t="shared" ref="L311:U314" si="293">L333*L339/1000000</f>
        <v>97.263556145471796</v>
      </c>
      <c r="M311" s="1">
        <f t="shared" si="293"/>
        <v>111.47946749485696</v>
      </c>
      <c r="N311" s="1">
        <f t="shared" si="293"/>
        <v>113.57416084971592</v>
      </c>
      <c r="O311" s="1">
        <f t="shared" si="293"/>
        <v>113.75742854537539</v>
      </c>
      <c r="P311" s="1">
        <f t="shared" si="293"/>
        <v>113.15408766143484</v>
      </c>
      <c r="Q311" s="1">
        <f t="shared" si="293"/>
        <v>113.28640462219732</v>
      </c>
      <c r="R311" s="1">
        <f t="shared" si="293"/>
        <v>112.20585128828955</v>
      </c>
      <c r="S311" s="1">
        <f t="shared" si="293"/>
        <v>110.380808474148</v>
      </c>
      <c r="T311" s="1">
        <f t="shared" si="293"/>
        <v>107.88474018724115</v>
      </c>
      <c r="U311" s="1">
        <f t="shared" si="293"/>
        <v>105.63450889267</v>
      </c>
      <c r="X311" s="1">
        <f>X377/X299</f>
        <v>14.101590909090907</v>
      </c>
      <c r="Y311" s="1">
        <f>H311-X311</f>
        <v>16.002407056321097</v>
      </c>
      <c r="Z311" s="1">
        <f>Z377/Z299</f>
        <v>16.983320754716981</v>
      </c>
      <c r="AA311" s="1">
        <f>I311-Z311</f>
        <v>21.052965767431939</v>
      </c>
      <c r="AB311" s="1">
        <f>AB377/AB299</f>
        <v>26.04398181818182</v>
      </c>
      <c r="AC311" s="1">
        <f>J311-AB311</f>
        <v>32.826363322599292</v>
      </c>
      <c r="AD311" s="1">
        <f>AD377/AD299</f>
        <v>17.098247248094836</v>
      </c>
      <c r="AE311" s="1">
        <f>K311-AD311</f>
        <v>33.939506624538559</v>
      </c>
    </row>
    <row r="312" spans="2:31">
      <c r="C312" s="1" t="s">
        <v>188</v>
      </c>
      <c r="F312" s="1">
        <f t="shared" si="292"/>
        <v>33.444401858304303</v>
      </c>
      <c r="G312" s="1">
        <f t="shared" si="292"/>
        <v>42.670734463276837</v>
      </c>
      <c r="H312" s="1">
        <f t="shared" si="292"/>
        <v>56.490075593952483</v>
      </c>
      <c r="I312" s="1">
        <f t="shared" si="292"/>
        <v>82.224103375527434</v>
      </c>
      <c r="J312" s="1">
        <f t="shared" si="292"/>
        <v>112.09983903420523</v>
      </c>
      <c r="K312" s="1">
        <f t="shared" si="292"/>
        <v>106.64079470198676</v>
      </c>
      <c r="L312" s="1">
        <f t="shared" si="293"/>
        <v>214.8559281200769</v>
      </c>
      <c r="M312" s="1">
        <f t="shared" si="293"/>
        <v>256.78364487581888</v>
      </c>
      <c r="N312" s="1">
        <f t="shared" si="293"/>
        <v>277.05832532736804</v>
      </c>
      <c r="O312" s="1">
        <f t="shared" si="293"/>
        <v>287.86759616936769</v>
      </c>
      <c r="P312" s="1">
        <f t="shared" si="293"/>
        <v>296.91969203947696</v>
      </c>
      <c r="Q312" s="1">
        <f t="shared" si="293"/>
        <v>303.97420743027561</v>
      </c>
      <c r="R312" s="1">
        <f t="shared" si="293"/>
        <v>307.54288848741606</v>
      </c>
      <c r="S312" s="1">
        <f t="shared" si="293"/>
        <v>306.32623650273007</v>
      </c>
      <c r="T312" s="1">
        <f t="shared" si="293"/>
        <v>305.79383176828748</v>
      </c>
      <c r="U312" s="1">
        <f t="shared" si="293"/>
        <v>305.3042055456599</v>
      </c>
      <c r="X312" s="1">
        <f>X378/X300</f>
        <v>25.794884233737594</v>
      </c>
      <c r="Y312" s="1">
        <f t="shared" ref="Y312:Y314" si="294">H312-X312</f>
        <v>30.695191360214888</v>
      </c>
      <c r="Z312" s="1">
        <f>Z378/Z300</f>
        <v>37.873556263269634</v>
      </c>
      <c r="AA312" s="1">
        <f t="shared" ref="AA312:AA314" si="295">I312-Z312</f>
        <v>44.3505471122578</v>
      </c>
      <c r="AB312" s="1">
        <f>AB378/AB300</f>
        <v>51.060782520325205</v>
      </c>
      <c r="AC312" s="1">
        <f t="shared" ref="AC312:AC314" si="296">J312-AB312</f>
        <v>61.039056513880027</v>
      </c>
      <c r="AD312" s="1">
        <f>AD378/AD300</f>
        <v>35.394674115456233</v>
      </c>
      <c r="AE312" s="1">
        <f t="shared" ref="AE312:AE314" si="297">K312-AD312</f>
        <v>71.246120586530537</v>
      </c>
    </row>
    <row r="313" spans="2:31">
      <c r="C313" s="1" t="s">
        <v>191</v>
      </c>
      <c r="F313" s="1">
        <f t="shared" si="292"/>
        <v>3.454097995545657</v>
      </c>
      <c r="G313" s="1">
        <f t="shared" si="292"/>
        <v>7.9051293103448277</v>
      </c>
      <c r="H313" s="1">
        <f t="shared" si="292"/>
        <v>16.067449735449735</v>
      </c>
      <c r="I313" s="1">
        <f t="shared" si="292"/>
        <v>36.684701411509231</v>
      </c>
      <c r="J313" s="1">
        <f t="shared" si="292"/>
        <v>60.896006322444677</v>
      </c>
      <c r="K313" s="1">
        <f t="shared" si="292"/>
        <v>81.264550898203581</v>
      </c>
      <c r="L313" s="1">
        <f t="shared" si="293"/>
        <v>216.62280622742225</v>
      </c>
      <c r="M313" s="1">
        <f t="shared" si="293"/>
        <v>292.42874926515969</v>
      </c>
      <c r="N313" s="1">
        <f t="shared" si="293"/>
        <v>358.30246901009139</v>
      </c>
      <c r="O313" s="1">
        <f t="shared" si="293"/>
        <v>415.46303128304214</v>
      </c>
      <c r="P313" s="1">
        <f t="shared" si="293"/>
        <v>470.33202412984531</v>
      </c>
      <c r="Q313" s="1">
        <f t="shared" si="293"/>
        <v>531.04697021313234</v>
      </c>
      <c r="R313" s="1">
        <f t="shared" si="293"/>
        <v>581.6427586158718</v>
      </c>
      <c r="S313" s="1">
        <f t="shared" si="293"/>
        <v>623.82382602118139</v>
      </c>
      <c r="T313" s="1">
        <f t="shared" si="293"/>
        <v>662.59602006025466</v>
      </c>
      <c r="U313" s="1">
        <f t="shared" si="293"/>
        <v>703.07265078244632</v>
      </c>
      <c r="X313" s="1">
        <f>X379/X301</f>
        <v>7.0319226519337015</v>
      </c>
      <c r="Y313" s="1">
        <f t="shared" si="294"/>
        <v>9.0355270835160333</v>
      </c>
      <c r="Z313" s="1">
        <f>Z379/Z301</f>
        <v>15.266132897603487</v>
      </c>
      <c r="AA313" s="1">
        <f t="shared" si="295"/>
        <v>21.418568513905743</v>
      </c>
      <c r="AB313" s="1">
        <f>AB379/AB301</f>
        <v>26.70938818565401</v>
      </c>
      <c r="AC313" s="1">
        <f t="shared" si="296"/>
        <v>34.186618136790671</v>
      </c>
      <c r="AD313" s="1">
        <f>AD379/AD301</f>
        <v>24.072416502946957</v>
      </c>
      <c r="AE313" s="1">
        <f t="shared" si="297"/>
        <v>57.192134395256623</v>
      </c>
    </row>
    <row r="314" spans="2:31">
      <c r="C314" s="1" t="s">
        <v>192</v>
      </c>
      <c r="F314" s="1">
        <f t="shared" si="292"/>
        <v>1.2875139405204461</v>
      </c>
      <c r="G314" s="1">
        <f t="shared" si="292"/>
        <v>2.0387418755803157</v>
      </c>
      <c r="H314" s="1">
        <f t="shared" si="292"/>
        <v>3.9163752783964365</v>
      </c>
      <c r="I314" s="1">
        <f t="shared" si="292"/>
        <v>6.6359508278976413</v>
      </c>
      <c r="J314" s="1">
        <f t="shared" si="292"/>
        <v>12.272012951969778</v>
      </c>
      <c r="K314" s="1">
        <f t="shared" si="292"/>
        <v>11.558468328141226</v>
      </c>
      <c r="L314" s="1">
        <f t="shared" si="293"/>
        <v>21.834257894255785</v>
      </c>
      <c r="M314" s="1">
        <f t="shared" si="293"/>
        <v>34.335314294984251</v>
      </c>
      <c r="N314" s="1">
        <f t="shared" si="293"/>
        <v>38.641582810241466</v>
      </c>
      <c r="O314" s="1">
        <f t="shared" si="293"/>
        <v>42.448650027140296</v>
      </c>
      <c r="P314" s="1">
        <f t="shared" si="293"/>
        <v>46.023757407825251</v>
      </c>
      <c r="Q314" s="1">
        <f t="shared" si="293"/>
        <v>49.71484470661715</v>
      </c>
      <c r="R314" s="1">
        <f t="shared" si="293"/>
        <v>52.79075078894374</v>
      </c>
      <c r="S314" s="1">
        <f t="shared" si="293"/>
        <v>55.402849560708582</v>
      </c>
      <c r="T314" s="1">
        <f t="shared" si="293"/>
        <v>57.712200520666272</v>
      </c>
      <c r="U314" s="1">
        <f t="shared" si="293"/>
        <v>60.172925386527545</v>
      </c>
      <c r="X314" s="1">
        <f>X380/X302</f>
        <v>1.289191489361702</v>
      </c>
      <c r="Y314" s="1">
        <f t="shared" si="294"/>
        <v>2.6271837890347345</v>
      </c>
      <c r="Z314" s="1">
        <f>Z380/Z302</f>
        <v>2.7145130035696075</v>
      </c>
      <c r="AA314" s="1">
        <f t="shared" si="295"/>
        <v>3.9214378243280339</v>
      </c>
      <c r="AB314" s="1">
        <f>AB380/AB302</f>
        <v>5.1754447439353095</v>
      </c>
      <c r="AC314" s="1">
        <f t="shared" si="296"/>
        <v>7.0965682080344683</v>
      </c>
      <c r="AD314" s="1">
        <f>AD380/AD302</f>
        <v>4.6777469942498691</v>
      </c>
      <c r="AE314" s="1">
        <f t="shared" si="297"/>
        <v>6.8807213338913567</v>
      </c>
    </row>
    <row r="316" spans="2:31" s="23" customFormat="1" ht="19">
      <c r="C316" s="33" t="s">
        <v>30</v>
      </c>
      <c r="G316" s="8">
        <f t="shared" ref="G316:U320" si="298">G310/F310-1</f>
        <v>0.28624534807981994</v>
      </c>
      <c r="H316" s="8">
        <f t="shared" si="298"/>
        <v>0.31430802463990282</v>
      </c>
      <c r="I316" s="8">
        <f t="shared" si="298"/>
        <v>0.53484957319472626</v>
      </c>
      <c r="J316" s="8">
        <f t="shared" si="298"/>
        <v>0.49246025248335035</v>
      </c>
      <c r="K316" s="8">
        <f t="shared" si="298"/>
        <v>2.6064598910194858E-2</v>
      </c>
      <c r="L316" s="8">
        <f t="shared" si="298"/>
        <v>1.1978966168574448</v>
      </c>
      <c r="M316" s="8">
        <f t="shared" si="298"/>
        <v>0.26236247796373502</v>
      </c>
      <c r="N316" s="8">
        <f t="shared" si="298"/>
        <v>0.13315934293166265</v>
      </c>
      <c r="O316" s="8">
        <f t="shared" si="298"/>
        <v>9.136911088093469E-2</v>
      </c>
      <c r="P316" s="8">
        <f t="shared" si="298"/>
        <v>7.7824314825383434E-2</v>
      </c>
      <c r="Q316" s="8">
        <f t="shared" si="298"/>
        <v>7.7278261326122477E-2</v>
      </c>
      <c r="R316" s="8">
        <f t="shared" si="298"/>
        <v>5.6271102422693176E-2</v>
      </c>
      <c r="S316" s="8">
        <f t="shared" si="298"/>
        <v>3.9605553414224781E-2</v>
      </c>
      <c r="T316" s="8">
        <f t="shared" si="298"/>
        <v>3.4722055963639864E-2</v>
      </c>
      <c r="U316" s="8">
        <f t="shared" si="298"/>
        <v>3.544794201786261E-2</v>
      </c>
      <c r="Z316" s="8">
        <f>Z310/X310-1</f>
        <v>0.51060067499355788</v>
      </c>
      <c r="AA316" s="8">
        <f t="shared" ref="AA316:AE320" si="299">AA310/Y310-1</f>
        <v>0.55488413826642224</v>
      </c>
      <c r="AB316" s="8">
        <f t="shared" si="299"/>
        <v>0.49633860268780405</v>
      </c>
      <c r="AC316" s="8">
        <f t="shared" si="299"/>
        <v>0.48934719907369528</v>
      </c>
      <c r="AD316" s="8">
        <f t="shared" si="299"/>
        <v>-0.25457945623100731</v>
      </c>
      <c r="AE316" s="8">
        <f t="shared" si="299"/>
        <v>0.25238792853811298</v>
      </c>
    </row>
    <row r="317" spans="2:31" s="23" customFormat="1">
      <c r="C317" s="23" t="s">
        <v>187</v>
      </c>
      <c r="G317" s="8">
        <f>G311/F311-1</f>
        <v>0.1455270427014681</v>
      </c>
      <c r="H317" s="8">
        <f t="shared" si="298"/>
        <v>5.7174697219593673E-2</v>
      </c>
      <c r="I317" s="8">
        <f t="shared" si="298"/>
        <v>0.26349618299372457</v>
      </c>
      <c r="J317" s="8">
        <f t="shared" si="298"/>
        <v>0.54774165733819213</v>
      </c>
      <c r="K317" s="8">
        <f t="shared" si="298"/>
        <v>-0.13304816286395205</v>
      </c>
      <c r="L317" s="8">
        <f t="shared" si="298"/>
        <v>0.90571780231936927</v>
      </c>
      <c r="M317" s="8">
        <f t="shared" si="298"/>
        <v>0.14615866325227933</v>
      </c>
      <c r="N317" s="8">
        <f t="shared" si="298"/>
        <v>1.8789947619328284E-2</v>
      </c>
      <c r="O317" s="8">
        <f t="shared" si="298"/>
        <v>1.6136390028183012E-3</v>
      </c>
      <c r="P317" s="8">
        <f t="shared" si="298"/>
        <v>-5.3037493169062477E-3</v>
      </c>
      <c r="Q317" s="8">
        <f t="shared" si="298"/>
        <v>1.1693520180939831E-3</v>
      </c>
      <c r="R317" s="8">
        <f t="shared" si="298"/>
        <v>-9.5382436887404554E-3</v>
      </c>
      <c r="S317" s="8">
        <f t="shared" si="298"/>
        <v>-1.626513050065892E-2</v>
      </c>
      <c r="T317" s="8">
        <f t="shared" si="298"/>
        <v>-2.2613245195530984E-2</v>
      </c>
      <c r="U317" s="8">
        <f t="shared" si="298"/>
        <v>-2.0857734751603685E-2</v>
      </c>
      <c r="Z317" s="8">
        <f t="shared" ref="Z317:Z320" si="300">Z311/X311-1</f>
        <v>0.20435494577908253</v>
      </c>
      <c r="AA317" s="8">
        <f t="shared" si="299"/>
        <v>0.31561243838725028</v>
      </c>
      <c r="AB317" s="8">
        <f t="shared" si="299"/>
        <v>0.53350349995293533</v>
      </c>
      <c r="AC317" s="8">
        <f t="shared" si="299"/>
        <v>0.55922750671928179</v>
      </c>
      <c r="AD317" s="8">
        <f t="shared" si="299"/>
        <v>-0.34348567099066973</v>
      </c>
      <c r="AE317" s="8">
        <f t="shared" si="299"/>
        <v>3.3910040262453478E-2</v>
      </c>
    </row>
    <row r="318" spans="2:31" s="23" customFormat="1">
      <c r="C318" s="23" t="s">
        <v>188</v>
      </c>
      <c r="G318" s="8">
        <f t="shared" ref="G318:J320" si="301">G312/F312-1</f>
        <v>0.27587076139266098</v>
      </c>
      <c r="H318" s="8">
        <f t="shared" si="301"/>
        <v>0.32385993127371182</v>
      </c>
      <c r="I318" s="8">
        <f t="shared" si="301"/>
        <v>0.45554953699389089</v>
      </c>
      <c r="J318" s="8">
        <f t="shared" si="301"/>
        <v>0.36334522885864384</v>
      </c>
      <c r="K318" s="8">
        <f t="shared" si="298"/>
        <v>-4.8698056832648384E-2</v>
      </c>
      <c r="L318" s="8">
        <f t="shared" si="298"/>
        <v>1.0147630062257407</v>
      </c>
      <c r="M318" s="8">
        <f t="shared" si="298"/>
        <v>0.19514340201174152</v>
      </c>
      <c r="N318" s="8">
        <f t="shared" si="298"/>
        <v>7.8956276445698137E-2</v>
      </c>
      <c r="O318" s="8">
        <f t="shared" si="298"/>
        <v>3.9014423512549579E-2</v>
      </c>
      <c r="P318" s="8">
        <f t="shared" si="298"/>
        <v>3.1445344980000511E-2</v>
      </c>
      <c r="Q318" s="8">
        <f t="shared" si="298"/>
        <v>2.3759001440230243E-2</v>
      </c>
      <c r="R318" s="8">
        <f t="shared" si="298"/>
        <v>1.1740078499782092E-2</v>
      </c>
      <c r="S318" s="8">
        <f t="shared" si="298"/>
        <v>-3.9560400523966921E-3</v>
      </c>
      <c r="T318" s="8">
        <f t="shared" si="298"/>
        <v>-1.7380317811525048E-3</v>
      </c>
      <c r="U318" s="8">
        <f t="shared" si="298"/>
        <v>-1.601164483260642E-3</v>
      </c>
      <c r="Z318" s="8">
        <f t="shared" si="300"/>
        <v>0.46825843140377921</v>
      </c>
      <c r="AA318" s="8">
        <f t="shared" si="299"/>
        <v>0.44486954297806069</v>
      </c>
      <c r="AB318" s="8">
        <f t="shared" si="299"/>
        <v>0.34819086344539407</v>
      </c>
      <c r="AC318" s="8">
        <f t="shared" si="299"/>
        <v>0.37628643812174722</v>
      </c>
      <c r="AD318" s="8">
        <f t="shared" si="299"/>
        <v>-0.30681293218788674</v>
      </c>
      <c r="AE318" s="8">
        <f t="shared" si="299"/>
        <v>0.16722185196832884</v>
      </c>
    </row>
    <row r="319" spans="2:31" s="23" customFormat="1">
      <c r="C319" s="23" t="s">
        <v>191</v>
      </c>
      <c r="G319" s="8">
        <f t="shared" si="301"/>
        <v>1.2886233455272955</v>
      </c>
      <c r="H319" s="8">
        <f t="shared" si="301"/>
        <v>1.0325347131796456</v>
      </c>
      <c r="I319" s="8">
        <f t="shared" si="301"/>
        <v>1.2831688921093369</v>
      </c>
      <c r="J319" s="8">
        <f t="shared" si="301"/>
        <v>0.65998369836368753</v>
      </c>
      <c r="K319" s="8">
        <f t="shared" si="298"/>
        <v>0.33448079448605128</v>
      </c>
      <c r="L319" s="8">
        <f t="shared" si="298"/>
        <v>1.6656494601043916</v>
      </c>
      <c r="M319" s="8">
        <f t="shared" si="298"/>
        <v>0.34994442347936494</v>
      </c>
      <c r="N319" s="8">
        <f t="shared" si="298"/>
        <v>0.22526417088082096</v>
      </c>
      <c r="O319" s="8">
        <f t="shared" si="298"/>
        <v>0.15953158913716803</v>
      </c>
      <c r="P319" s="8">
        <f t="shared" si="298"/>
        <v>0.13206708832156622</v>
      </c>
      <c r="Q319" s="8">
        <f t="shared" si="298"/>
        <v>0.129089543063998</v>
      </c>
      <c r="R319" s="8">
        <f t="shared" si="298"/>
        <v>9.5275542919363909E-2</v>
      </c>
      <c r="S319" s="8">
        <f t="shared" si="298"/>
        <v>7.2520575182071223E-2</v>
      </c>
      <c r="T319" s="8">
        <f t="shared" si="298"/>
        <v>6.215247385847178E-2</v>
      </c>
      <c r="U319" s="8">
        <f t="shared" si="298"/>
        <v>6.1087947251042607E-2</v>
      </c>
      <c r="Z319" s="8">
        <f t="shared" si="300"/>
        <v>1.1709756567651479</v>
      </c>
      <c r="AA319" s="8">
        <f t="shared" si="299"/>
        <v>1.3704835717863895</v>
      </c>
      <c r="AB319" s="8">
        <f t="shared" si="299"/>
        <v>0.74958441439003276</v>
      </c>
      <c r="AC319" s="8">
        <f t="shared" si="299"/>
        <v>0.5961205864245982</v>
      </c>
      <c r="AD319" s="8">
        <f t="shared" si="299"/>
        <v>-9.8728269789549405E-2</v>
      </c>
      <c r="AE319" s="8">
        <f t="shared" si="299"/>
        <v>0.67293922336553291</v>
      </c>
    </row>
    <row r="320" spans="2:31" s="23" customFormat="1">
      <c r="C320" s="23" t="s">
        <v>192</v>
      </c>
      <c r="G320" s="8">
        <f t="shared" si="301"/>
        <v>0.58347169022201339</v>
      </c>
      <c r="H320" s="8">
        <f t="shared" si="301"/>
        <v>0.92097652248481121</v>
      </c>
      <c r="I320" s="8">
        <f t="shared" si="301"/>
        <v>0.69441137689305843</v>
      </c>
      <c r="J320" s="8">
        <f t="shared" si="301"/>
        <v>0.84932246640195741</v>
      </c>
      <c r="K320" s="8">
        <f t="shared" si="298"/>
        <v>-5.8144057264380655E-2</v>
      </c>
      <c r="L320" s="8">
        <f t="shared" si="298"/>
        <v>0.88902692592030141</v>
      </c>
      <c r="M320" s="8">
        <f t="shared" si="298"/>
        <v>0.57254322364751764</v>
      </c>
      <c r="N320" s="8">
        <f t="shared" si="298"/>
        <v>0.1254180602006687</v>
      </c>
      <c r="O320" s="8">
        <f t="shared" si="298"/>
        <v>9.8522548509317742E-2</v>
      </c>
      <c r="P320" s="8">
        <f t="shared" si="298"/>
        <v>8.4221933522011794E-2</v>
      </c>
      <c r="Q320" s="8">
        <f t="shared" si="298"/>
        <v>8.0199607913027826E-2</v>
      </c>
      <c r="R320" s="8">
        <f t="shared" si="298"/>
        <v>6.1870978386404873E-2</v>
      </c>
      <c r="S320" s="8">
        <f t="shared" si="298"/>
        <v>4.9480235320159771E-2</v>
      </c>
      <c r="T320" s="8">
        <f t="shared" si="298"/>
        <v>4.1682891372350372E-2</v>
      </c>
      <c r="U320" s="8">
        <f t="shared" si="298"/>
        <v>4.2637862421830652E-2</v>
      </c>
      <c r="Z320" s="8">
        <f t="shared" si="300"/>
        <v>1.1055933319212365</v>
      </c>
      <c r="AA320" s="8">
        <f t="shared" si="299"/>
        <v>0.49263931998028476</v>
      </c>
      <c r="AB320" s="8">
        <f t="shared" si="299"/>
        <v>0.90658314663792594</v>
      </c>
      <c r="AC320" s="8">
        <f t="shared" si="299"/>
        <v>0.8096852547319211</v>
      </c>
      <c r="AD320" s="8">
        <f t="shared" si="299"/>
        <v>-9.6165213679201722E-2</v>
      </c>
      <c r="AE320" s="8">
        <f t="shared" si="299"/>
        <v>-3.04156696329273E-2</v>
      </c>
    </row>
    <row r="322" spans="2:31" s="23" customFormat="1" ht="19">
      <c r="C322" s="33" t="s">
        <v>36</v>
      </c>
    </row>
    <row r="323" spans="2:31" s="23" customFormat="1">
      <c r="C323" s="23" t="s">
        <v>187</v>
      </c>
      <c r="G323" s="8">
        <f t="shared" ref="G323:J326" si="302">G311/G$310</f>
        <v>0.35116192621767384</v>
      </c>
      <c r="H323" s="8">
        <f t="shared" si="302"/>
        <v>0.28246004442218309</v>
      </c>
      <c r="I323" s="8">
        <f t="shared" si="302"/>
        <v>0.23252258345605828</v>
      </c>
      <c r="J323" s="8">
        <f>J311/J$310</f>
        <v>0.24113532543866026</v>
      </c>
      <c r="K323" s="8">
        <f t="shared" ref="K323:U326" si="303">K311/K$310</f>
        <v>0.20374225327477885</v>
      </c>
      <c r="L323" s="8">
        <f t="shared" si="303"/>
        <v>0.17665764448264376</v>
      </c>
      <c r="M323" s="8">
        <f t="shared" si="303"/>
        <v>0.16039583969584692</v>
      </c>
      <c r="N323" s="8">
        <f t="shared" si="303"/>
        <v>0.14420714098277065</v>
      </c>
      <c r="O323" s="8">
        <f t="shared" si="303"/>
        <v>0.13234737707882899</v>
      </c>
      <c r="P323" s="8">
        <f t="shared" si="303"/>
        <v>0.12213997954701966</v>
      </c>
      <c r="Q323" s="8">
        <f t="shared" si="303"/>
        <v>0.11351088067818578</v>
      </c>
      <c r="R323" s="8">
        <f t="shared" si="303"/>
        <v>0.10643875987810822</v>
      </c>
      <c r="S323" s="8">
        <f t="shared" si="303"/>
        <v>0.10071850733625544</v>
      </c>
      <c r="T323" s="8">
        <f t="shared" si="303"/>
        <v>9.5137563239100442E-2</v>
      </c>
      <c r="U323" s="8">
        <f t="shared" si="303"/>
        <v>8.9964164686647627E-2</v>
      </c>
    </row>
    <row r="324" spans="2:31" s="23" customFormat="1">
      <c r="C324" s="23" t="s">
        <v>188</v>
      </c>
      <c r="G324" s="8">
        <f t="shared" si="302"/>
        <v>0.52621124523147667</v>
      </c>
      <c r="H324" s="8">
        <f t="shared" si="302"/>
        <v>0.53003555474635511</v>
      </c>
      <c r="I324" s="8">
        <f t="shared" si="302"/>
        <v>0.50265056574601397</v>
      </c>
      <c r="J324" s="8">
        <f t="shared" si="302"/>
        <v>0.45916549499570081</v>
      </c>
      <c r="K324" s="8">
        <f t="shared" si="303"/>
        <v>0.42570909091761766</v>
      </c>
      <c r="L324" s="8">
        <f t="shared" si="303"/>
        <v>0.39023806725775451</v>
      </c>
      <c r="M324" s="8">
        <f t="shared" si="303"/>
        <v>0.36945842373993459</v>
      </c>
      <c r="N324" s="8">
        <f t="shared" si="303"/>
        <v>0.35178590519195579</v>
      </c>
      <c r="O324" s="8">
        <f t="shared" si="303"/>
        <v>0.33491018376709081</v>
      </c>
      <c r="P324" s="8">
        <f t="shared" si="303"/>
        <v>0.32049893965226306</v>
      </c>
      <c r="Q324" s="8">
        <f t="shared" si="303"/>
        <v>0.30457652976042393</v>
      </c>
      <c r="R324" s="8">
        <f t="shared" si="303"/>
        <v>0.29173597708222415</v>
      </c>
      <c r="S324" s="8">
        <f t="shared" si="303"/>
        <v>0.27951164450578991</v>
      </c>
      <c r="T324" s="8">
        <f t="shared" si="303"/>
        <v>0.26966260434506634</v>
      </c>
      <c r="U324" s="8">
        <f t="shared" si="303"/>
        <v>0.26001387345060839</v>
      </c>
    </row>
    <row r="325" spans="2:31" s="23" customFormat="1">
      <c r="C325" s="23" t="s">
        <v>191</v>
      </c>
      <c r="G325" s="8">
        <f t="shared" si="302"/>
        <v>9.7485266903300283E-2</v>
      </c>
      <c r="H325" s="8">
        <f t="shared" si="302"/>
        <v>0.15075780204478939</v>
      </c>
      <c r="I325" s="8">
        <f t="shared" si="302"/>
        <v>0.22426010332399604</v>
      </c>
      <c r="J325" s="8">
        <f t="shared" si="302"/>
        <v>0.24943251593585911</v>
      </c>
      <c r="K325" s="8">
        <f t="shared" si="303"/>
        <v>0.32440735445924235</v>
      </c>
      <c r="L325" s="8">
        <f t="shared" si="303"/>
        <v>0.39344720886126261</v>
      </c>
      <c r="M325" s="8">
        <f t="shared" si="303"/>
        <v>0.42074433833975272</v>
      </c>
      <c r="N325" s="8">
        <f t="shared" si="303"/>
        <v>0.45494304581641382</v>
      </c>
      <c r="O325" s="8">
        <f t="shared" si="303"/>
        <v>0.483356939117146</v>
      </c>
      <c r="P325" s="8">
        <f t="shared" si="303"/>
        <v>0.50768244430913756</v>
      </c>
      <c r="Q325" s="8">
        <f t="shared" si="303"/>
        <v>0.5320992353089804</v>
      </c>
      <c r="R325" s="8">
        <f t="shared" si="303"/>
        <v>0.55174782070938633</v>
      </c>
      <c r="S325" s="8">
        <f t="shared" si="303"/>
        <v>0.56921674579291281</v>
      </c>
      <c r="T325" s="8">
        <f t="shared" si="303"/>
        <v>0.58430664662168619</v>
      </c>
      <c r="U325" s="8">
        <f t="shared" si="303"/>
        <v>0.59877538509632733</v>
      </c>
    </row>
    <row r="326" spans="2:31" s="23" customFormat="1">
      <c r="C326" s="23" t="s">
        <v>192</v>
      </c>
      <c r="G326" s="8">
        <f t="shared" si="302"/>
        <v>2.5141561647549139E-2</v>
      </c>
      <c r="H326" s="8">
        <f t="shared" si="302"/>
        <v>3.6746598786672392E-2</v>
      </c>
      <c r="I326" s="8">
        <f t="shared" si="302"/>
        <v>4.0566747473931734E-2</v>
      </c>
      <c r="J326" s="8">
        <f t="shared" si="302"/>
        <v>5.0266663629779801E-2</v>
      </c>
      <c r="K326" s="8">
        <f t="shared" si="303"/>
        <v>4.6141301348361065E-2</v>
      </c>
      <c r="L326" s="8">
        <f t="shared" si="303"/>
        <v>3.9657079398339186E-2</v>
      </c>
      <c r="M326" s="8">
        <f t="shared" si="303"/>
        <v>4.9401398224465758E-2</v>
      </c>
      <c r="N326" s="8">
        <f t="shared" si="303"/>
        <v>4.9063908008859715E-2</v>
      </c>
      <c r="O326" s="8">
        <f t="shared" si="303"/>
        <v>4.9385500036934246E-2</v>
      </c>
      <c r="P326" s="8">
        <f t="shared" si="303"/>
        <v>4.9678636491579747E-2</v>
      </c>
      <c r="Q326" s="8">
        <f t="shared" si="303"/>
        <v>4.9813354252409847E-2</v>
      </c>
      <c r="R326" s="8">
        <f t="shared" si="303"/>
        <v>5.007744233028126E-2</v>
      </c>
      <c r="S326" s="8">
        <f t="shared" si="303"/>
        <v>5.055310236504186E-2</v>
      </c>
      <c r="T326" s="8">
        <f t="shared" si="303"/>
        <v>5.0893185794146922E-2</v>
      </c>
      <c r="U326" s="8">
        <f t="shared" si="303"/>
        <v>5.1246576766416543E-2</v>
      </c>
    </row>
    <row r="328" spans="2:31" ht="19">
      <c r="C328" s="39" t="s">
        <v>199</v>
      </c>
    </row>
    <row r="329" spans="2:31">
      <c r="C329" s="1" t="s">
        <v>187</v>
      </c>
      <c r="F329" s="40">
        <f t="shared" ref="F329:I329" si="304">F311/F257</f>
        <v>0.35141667304995577</v>
      </c>
      <c r="G329" s="40">
        <f t="shared" si="304"/>
        <v>0.39617041074991827</v>
      </c>
      <c r="H329" s="40">
        <f t="shared" si="304"/>
        <v>0.41285294191220162</v>
      </c>
      <c r="I329" s="40">
        <f t="shared" si="304"/>
        <v>0.51602053596147268</v>
      </c>
      <c r="J329" s="40">
        <f>J311/J257</f>
        <v>0.78952031109601606</v>
      </c>
      <c r="K329" s="40">
        <f>K311/K257</f>
        <v>0.67769909322862887</v>
      </c>
      <c r="L329" s="40">
        <f t="shared" ref="L329:U329" si="305">L311/L257</f>
        <v>1.2787160659222694</v>
      </c>
      <c r="M329" s="40">
        <f t="shared" si="305"/>
        <v>1.4511004918779025</v>
      </c>
      <c r="N329" s="40">
        <f t="shared" si="305"/>
        <v>1.4637293010996728</v>
      </c>
      <c r="O329" s="40">
        <f t="shared" si="305"/>
        <v>1.4515754770193021</v>
      </c>
      <c r="P329" s="40">
        <f t="shared" si="305"/>
        <v>1.4295808758164585</v>
      </c>
      <c r="Q329" s="40">
        <f t="shared" si="305"/>
        <v>1.4170817416818049</v>
      </c>
      <c r="R329" s="40">
        <f t="shared" si="305"/>
        <v>1.3896685848542367</v>
      </c>
      <c r="S329" s="40">
        <f t="shared" si="305"/>
        <v>1.3535301425434818</v>
      </c>
      <c r="T329" s="40">
        <f t="shared" si="305"/>
        <v>1.3098241916342614</v>
      </c>
      <c r="U329" s="40">
        <f t="shared" si="305"/>
        <v>1.2698061644296241</v>
      </c>
    </row>
    <row r="330" spans="2:31">
      <c r="C330" s="1" t="s">
        <v>188</v>
      </c>
      <c r="F330" s="40">
        <f t="shared" ref="F330:I330" si="306">F312/F259</f>
        <v>0.13580418614217971</v>
      </c>
      <c r="G330" s="40">
        <f t="shared" si="306"/>
        <v>0.17093879904752171</v>
      </c>
      <c r="H330" s="40">
        <f t="shared" si="306"/>
        <v>0.22292416442599364</v>
      </c>
      <c r="I330" s="40">
        <f t="shared" si="306"/>
        <v>0.32009071785394755</v>
      </c>
      <c r="J330" s="40">
        <f>J312/J259</f>
        <v>0.42848131644558463</v>
      </c>
      <c r="K330" s="40">
        <f>K312/K259</f>
        <v>0.40159124034048232</v>
      </c>
      <c r="L330" s="40">
        <f t="shared" ref="L330:U330" si="307">L312/L259</f>
        <v>0.79715386666237853</v>
      </c>
      <c r="M330" s="40">
        <f t="shared" si="307"/>
        <v>0.93863367894550664</v>
      </c>
      <c r="N330" s="40">
        <f t="shared" si="307"/>
        <v>0.99777802875031629</v>
      </c>
      <c r="O330" s="40">
        <f t="shared" si="307"/>
        <v>1.0213849885078798</v>
      </c>
      <c r="P330" s="40">
        <f t="shared" si="307"/>
        <v>1.0379337850531076</v>
      </c>
      <c r="Q330" s="40">
        <f t="shared" si="307"/>
        <v>1.0468906949232002</v>
      </c>
      <c r="R330" s="40">
        <f t="shared" si="307"/>
        <v>1.043528348632798</v>
      </c>
      <c r="S330" s="40">
        <f t="shared" si="307"/>
        <v>1.0240395159505373</v>
      </c>
      <c r="T330" s="40">
        <f t="shared" si="307"/>
        <v>1.0071524164794674</v>
      </c>
      <c r="U330" s="40">
        <f t="shared" si="307"/>
        <v>0.99067960571524183</v>
      </c>
    </row>
    <row r="332" spans="2:31">
      <c r="B332" s="1" t="s">
        <v>200</v>
      </c>
      <c r="F332" s="1">
        <f t="shared" ref="F332:U336" si="308">F310/F338*1000000</f>
        <v>1373.2409723367261</v>
      </c>
      <c r="G332" s="1">
        <f t="shared" si="308"/>
        <v>1415.8763203217327</v>
      </c>
      <c r="H332" s="1">
        <f t="shared" si="308"/>
        <v>1440.6546055984493</v>
      </c>
      <c r="I332" s="1">
        <f t="shared" si="308"/>
        <v>1266.0681421489546</v>
      </c>
      <c r="J332" s="1">
        <f t="shared" si="308"/>
        <v>1104.4403835730623</v>
      </c>
      <c r="K332" s="1">
        <f t="shared" si="308"/>
        <v>695.04803653894601</v>
      </c>
      <c r="L332" s="1">
        <f t="shared" si="308"/>
        <v>1006.9618823037598</v>
      </c>
      <c r="M332" s="1">
        <f t="shared" si="308"/>
        <v>1003.2581894868712</v>
      </c>
      <c r="N332" s="1">
        <f t="shared" si="308"/>
        <v>959.85050699241549</v>
      </c>
      <c r="O332" s="1">
        <f t="shared" si="308"/>
        <v>921.68796916141821</v>
      </c>
      <c r="P332" s="1">
        <f t="shared" si="308"/>
        <v>891.20898225967971</v>
      </c>
      <c r="Q332" s="1">
        <f t="shared" si="308"/>
        <v>868.58577481003147</v>
      </c>
      <c r="R332" s="1">
        <f t="shared" si="308"/>
        <v>849.96190279577934</v>
      </c>
      <c r="S332" s="1">
        <f t="shared" si="308"/>
        <v>832.22746741417347</v>
      </c>
      <c r="T332" s="1">
        <f t="shared" si="308"/>
        <v>818.01293581802224</v>
      </c>
      <c r="U332" s="1">
        <f t="shared" si="308"/>
        <v>804.63813455173045</v>
      </c>
      <c r="X332" s="1">
        <f>X310/X338*1000000</f>
        <v>1447.9353827118266</v>
      </c>
      <c r="Y332" s="1">
        <f t="shared" ref="Y332:AE336" si="309">Y310/Y338*1000000</f>
        <v>1434.6942001042951</v>
      </c>
      <c r="Z332" s="1">
        <f t="shared" si="309"/>
        <v>1325.2829374282414</v>
      </c>
      <c r="AA332" s="1">
        <f t="shared" si="309"/>
        <v>1222.233705321959</v>
      </c>
      <c r="AB332" s="1">
        <f t="shared" si="309"/>
        <v>1137.2095771377808</v>
      </c>
      <c r="AC332" s="1">
        <f t="shared" si="309"/>
        <v>1079.3582578451301</v>
      </c>
      <c r="AD332" s="1">
        <f t="shared" si="309"/>
        <v>524.2402538554968</v>
      </c>
      <c r="AE332" s="1">
        <f t="shared" si="309"/>
        <v>823.89884411795924</v>
      </c>
    </row>
    <row r="333" spans="2:31" outlineLevel="1">
      <c r="C333" s="1" t="s">
        <v>187</v>
      </c>
      <c r="F333" s="2">
        <v>1412</v>
      </c>
      <c r="G333" s="2">
        <v>1472</v>
      </c>
      <c r="H333" s="2">
        <v>1546</v>
      </c>
      <c r="I333" s="1">
        <f t="shared" si="308"/>
        <v>1315.9089109149811</v>
      </c>
      <c r="J333" s="1">
        <f t="shared" si="308"/>
        <v>1095.9146867117374</v>
      </c>
      <c r="K333" s="1">
        <f t="shared" si="308"/>
        <v>641.6130776234304</v>
      </c>
      <c r="L333" s="1">
        <f t="shared" ref="L333:U336" si="310">L364*L358</f>
        <v>960.17413170950317</v>
      </c>
      <c r="M333" s="1">
        <f t="shared" si="310"/>
        <v>952.70611068509584</v>
      </c>
      <c r="N333" s="1">
        <f t="shared" si="310"/>
        <v>876.48962183028823</v>
      </c>
      <c r="O333" s="1">
        <f t="shared" si="310"/>
        <v>815.13534830216793</v>
      </c>
      <c r="P333" s="1">
        <f t="shared" si="310"/>
        <v>766.22722740403776</v>
      </c>
      <c r="Q333" s="1">
        <f t="shared" si="310"/>
        <v>727.91586603383587</v>
      </c>
      <c r="R333" s="1">
        <f t="shared" si="310"/>
        <v>691.52007273214406</v>
      </c>
      <c r="S333" s="1">
        <f t="shared" si="310"/>
        <v>656.94406909553675</v>
      </c>
      <c r="T333" s="1">
        <f t="shared" si="310"/>
        <v>624.09686564075992</v>
      </c>
      <c r="U333" s="1">
        <f t="shared" si="310"/>
        <v>592.89202235872187</v>
      </c>
      <c r="X333" s="2">
        <v>1469</v>
      </c>
      <c r="Y333" s="1">
        <f>Y311/Y339*1000000</f>
        <v>1620.8685682548441</v>
      </c>
      <c r="Z333" s="2">
        <v>1418</v>
      </c>
      <c r="AA333" s="1">
        <f t="shared" si="309"/>
        <v>1243.6770892859131</v>
      </c>
      <c r="AB333" s="1">
        <f t="shared" si="309"/>
        <v>1141.9793834158475</v>
      </c>
      <c r="AC333" s="1">
        <f t="shared" si="309"/>
        <v>1061.92945531183</v>
      </c>
      <c r="AD333" s="1">
        <f t="shared" si="309"/>
        <v>467.39509179637082</v>
      </c>
      <c r="AE333" s="1">
        <f t="shared" si="309"/>
        <v>789.95220706960617</v>
      </c>
    </row>
    <row r="334" spans="2:31" outlineLevel="1">
      <c r="C334" s="1" t="s">
        <v>188</v>
      </c>
      <c r="F334" s="2">
        <v>1471</v>
      </c>
      <c r="G334" s="2">
        <v>1559</v>
      </c>
      <c r="H334" s="2">
        <v>1589</v>
      </c>
      <c r="I334" s="1">
        <f t="shared" si="308"/>
        <v>1402.5653924366923</v>
      </c>
      <c r="J334" s="1">
        <f t="shared" si="308"/>
        <v>1165.5213041610027</v>
      </c>
      <c r="K334" s="1">
        <f t="shared" si="308"/>
        <v>723.93569010289241</v>
      </c>
      <c r="L334" s="1">
        <f t="shared" si="310"/>
        <v>1034.5279058192787</v>
      </c>
      <c r="M334" s="1">
        <f t="shared" si="310"/>
        <v>992.26634030495927</v>
      </c>
      <c r="N334" s="1">
        <f t="shared" si="310"/>
        <v>912.88503308056261</v>
      </c>
      <c r="O334" s="1">
        <f t="shared" si="310"/>
        <v>839.85423043411754</v>
      </c>
      <c r="P334" s="1">
        <f t="shared" si="310"/>
        <v>781.06443430372929</v>
      </c>
      <c r="Q334" s="1">
        <f t="shared" si="310"/>
        <v>726.38992390246824</v>
      </c>
      <c r="R334" s="1">
        <f t="shared" si="310"/>
        <v>682.80652846832015</v>
      </c>
      <c r="S334" s="1">
        <f t="shared" si="310"/>
        <v>641.83813676022089</v>
      </c>
      <c r="T334" s="1">
        <f t="shared" si="310"/>
        <v>609.74622992220986</v>
      </c>
      <c r="U334" s="1">
        <f t="shared" si="310"/>
        <v>579.25891842609929</v>
      </c>
      <c r="X334" s="2">
        <v>1642</v>
      </c>
      <c r="Y334" s="1">
        <f>Y312/Y340*1000000</f>
        <v>1547.0369881073468</v>
      </c>
      <c r="Z334" s="2">
        <v>1485</v>
      </c>
      <c r="AA334" s="1">
        <f t="shared" si="309"/>
        <v>1339.0865673990882</v>
      </c>
      <c r="AB334" s="1">
        <f t="shared" si="309"/>
        <v>1215.9645294419224</v>
      </c>
      <c r="AC334" s="1">
        <f t="shared" si="309"/>
        <v>1126.4312488720755</v>
      </c>
      <c r="AD334" s="1">
        <f t="shared" si="309"/>
        <v>539.46250042609063</v>
      </c>
      <c r="AE334" s="1">
        <f t="shared" si="309"/>
        <v>872.08823671330958</v>
      </c>
    </row>
    <row r="335" spans="2:31" outlineLevel="1">
      <c r="C335" s="1" t="s">
        <v>191</v>
      </c>
      <c r="F335" s="2">
        <v>962</v>
      </c>
      <c r="G335" s="2">
        <v>1027</v>
      </c>
      <c r="H335" s="2">
        <v>1112</v>
      </c>
      <c r="I335" s="1">
        <f t="shared" si="308"/>
        <v>1146.8591838623111</v>
      </c>
      <c r="J335" s="1">
        <f t="shared" si="308"/>
        <v>1101.9109424298761</v>
      </c>
      <c r="K335" s="1">
        <f t="shared" si="308"/>
        <v>752.40077863660292</v>
      </c>
      <c r="L335" s="1">
        <f t="shared" si="310"/>
        <v>1079.1045469313667</v>
      </c>
      <c r="M335" s="1">
        <f t="shared" si="310"/>
        <v>1068.3135014620532</v>
      </c>
      <c r="N335" s="1">
        <f t="shared" si="310"/>
        <v>1057.6303664474326</v>
      </c>
      <c r="O335" s="1">
        <f t="shared" si="310"/>
        <v>1047.0540627829582</v>
      </c>
      <c r="P335" s="1">
        <f t="shared" si="310"/>
        <v>1036.5835221551288</v>
      </c>
      <c r="Q335" s="1">
        <f t="shared" si="310"/>
        <v>1036.5835221551288</v>
      </c>
      <c r="R335" s="1">
        <f t="shared" si="310"/>
        <v>1036.5835221551288</v>
      </c>
      <c r="S335" s="1">
        <f t="shared" si="310"/>
        <v>1036.5835221551288</v>
      </c>
      <c r="T335" s="1">
        <f t="shared" si="310"/>
        <v>1036.5835221551288</v>
      </c>
      <c r="U335" s="1">
        <f t="shared" si="310"/>
        <v>1036.5835221551288</v>
      </c>
      <c r="X335" s="2">
        <v>1133</v>
      </c>
      <c r="Y335" s="1">
        <f>Y313/Y341*1000000</f>
        <v>1096.1877051274635</v>
      </c>
      <c r="Z335" s="2">
        <v>1139</v>
      </c>
      <c r="AA335" s="1">
        <f t="shared" si="309"/>
        <v>1152.5273629953585</v>
      </c>
      <c r="AB335" s="1">
        <f t="shared" si="309"/>
        <v>1117.9218226039682</v>
      </c>
      <c r="AC335" s="1">
        <f t="shared" si="309"/>
        <v>1089.717523166858</v>
      </c>
      <c r="AD335" s="1">
        <f t="shared" si="309"/>
        <v>573.82223315169972</v>
      </c>
      <c r="AE335" s="1">
        <f t="shared" si="309"/>
        <v>865.81286174240984</v>
      </c>
    </row>
    <row r="336" spans="2:31" outlineLevel="1">
      <c r="C336" s="1" t="s">
        <v>192</v>
      </c>
      <c r="F336" s="2">
        <v>651</v>
      </c>
      <c r="G336" s="2">
        <v>713</v>
      </c>
      <c r="H336" s="2">
        <v>869</v>
      </c>
      <c r="I336" s="1">
        <f t="shared" si="308"/>
        <v>684.97695696749054</v>
      </c>
      <c r="J336" s="1">
        <f t="shared" si="308"/>
        <v>772.33474634002187</v>
      </c>
      <c r="K336" s="1">
        <f t="shared" si="308"/>
        <v>452.40394254731012</v>
      </c>
      <c r="L336" s="1">
        <f t="shared" si="310"/>
        <v>589.41325265202136</v>
      </c>
      <c r="M336" s="1">
        <f t="shared" si="310"/>
        <v>794.02385321550867</v>
      </c>
      <c r="N336" s="1">
        <f t="shared" si="310"/>
        <v>794.02385321550867</v>
      </c>
      <c r="O336" s="1">
        <f t="shared" si="310"/>
        <v>794.02385321550867</v>
      </c>
      <c r="P336" s="1">
        <f t="shared" si="310"/>
        <v>794.02385321550867</v>
      </c>
      <c r="Q336" s="1">
        <f t="shared" si="310"/>
        <v>794.02385321550867</v>
      </c>
      <c r="R336" s="1">
        <f t="shared" si="310"/>
        <v>794.02385321550867</v>
      </c>
      <c r="S336" s="1">
        <f t="shared" si="310"/>
        <v>794.02385321550867</v>
      </c>
      <c r="T336" s="1">
        <f t="shared" si="310"/>
        <v>794.02385321550867</v>
      </c>
      <c r="U336" s="1">
        <f t="shared" si="310"/>
        <v>794.02385321550867</v>
      </c>
      <c r="X336" s="2">
        <v>722</v>
      </c>
      <c r="Y336" s="1">
        <f>Y314/Y342*1000000</f>
        <v>965.45855374498296</v>
      </c>
      <c r="Z336" s="2">
        <v>666</v>
      </c>
      <c r="AA336" s="1">
        <f t="shared" si="309"/>
        <v>698.75941274555123</v>
      </c>
      <c r="AB336" s="1">
        <f t="shared" si="309"/>
        <v>723.88904733692004</v>
      </c>
      <c r="AC336" s="1">
        <f t="shared" si="309"/>
        <v>811.96432586206731</v>
      </c>
      <c r="AD336" s="1">
        <f t="shared" si="309"/>
        <v>431.96481616491542</v>
      </c>
      <c r="AE336" s="1">
        <f t="shared" si="309"/>
        <v>467.44030800892364</v>
      </c>
    </row>
    <row r="337" spans="2:31" outlineLevel="1"/>
    <row r="338" spans="2:31" s="6" customFormat="1">
      <c r="B338" s="6" t="s">
        <v>201</v>
      </c>
      <c r="F338" s="6">
        <f>F339+F340+F341+F342</f>
        <v>45909.168146188138</v>
      </c>
      <c r="G338" s="6">
        <f t="shared" ref="G338:U338" si="311">G339+G340+G341+G342</f>
        <v>57272.306664198732</v>
      </c>
      <c r="H338" s="6">
        <f t="shared" si="311"/>
        <v>73978.799747728641</v>
      </c>
      <c r="I338" s="6">
        <f t="shared" si="311"/>
        <v>129203.97938410306</v>
      </c>
      <c r="J338" s="6">
        <f t="shared" si="311"/>
        <v>221051.5</v>
      </c>
      <c r="K338" s="6">
        <f t="shared" si="311"/>
        <v>360409</v>
      </c>
      <c r="L338" s="6">
        <f t="shared" si="311"/>
        <v>546770</v>
      </c>
      <c r="M338" s="6">
        <f t="shared" si="311"/>
        <v>692770</v>
      </c>
      <c r="N338" s="6">
        <f t="shared" si="311"/>
        <v>820520</v>
      </c>
      <c r="O338" s="6">
        <f t="shared" si="311"/>
        <v>932568</v>
      </c>
      <c r="P338" s="6">
        <f t="shared" si="311"/>
        <v>1039520</v>
      </c>
      <c r="Q338" s="6">
        <f t="shared" si="311"/>
        <v>1149020</v>
      </c>
      <c r="R338" s="6">
        <f t="shared" si="311"/>
        <v>1240270</v>
      </c>
      <c r="S338" s="6">
        <f t="shared" si="311"/>
        <v>1316868.0000000002</v>
      </c>
      <c r="T338" s="6">
        <f t="shared" si="311"/>
        <v>1386270</v>
      </c>
      <c r="U338" s="6">
        <f t="shared" si="311"/>
        <v>1459270.0000000002</v>
      </c>
      <c r="X338" s="6">
        <f t="shared" ref="X338:AE338" si="312">X339+X340+X341+X342</f>
        <v>33300.92617380312</v>
      </c>
      <c r="Y338" s="6">
        <f t="shared" si="312"/>
        <v>40677.873573925535</v>
      </c>
      <c r="Z338" s="6">
        <f t="shared" si="312"/>
        <v>54959.97938410307</v>
      </c>
      <c r="AA338" s="6">
        <f t="shared" si="312"/>
        <v>74244</v>
      </c>
      <c r="AB338" s="6">
        <f t="shared" si="312"/>
        <v>95839.5</v>
      </c>
      <c r="AC338" s="6">
        <f t="shared" si="312"/>
        <v>125212</v>
      </c>
      <c r="AD338" s="6">
        <f t="shared" si="312"/>
        <v>154973</v>
      </c>
      <c r="AE338" s="6">
        <f t="shared" si="312"/>
        <v>205436</v>
      </c>
    </row>
    <row r="339" spans="2:31" outlineLevel="1">
      <c r="C339" s="1" t="s">
        <v>187</v>
      </c>
      <c r="F339" s="1">
        <f t="shared" ref="F339:H342" si="313">F311*1000000/F333</f>
        <v>17605.054468747338</v>
      </c>
      <c r="G339" s="1">
        <f t="shared" si="313"/>
        <v>19345.038836169533</v>
      </c>
      <c r="H339" s="1">
        <f t="shared" si="313"/>
        <v>19472.184971159124</v>
      </c>
      <c r="I339" s="3">
        <f>Z339+AA339</f>
        <v>28904.953987811692</v>
      </c>
      <c r="J339" s="3">
        <f>AB339+AC339</f>
        <v>53718</v>
      </c>
      <c r="K339" s="3">
        <f>AD339+AE339</f>
        <v>79546</v>
      </c>
      <c r="L339" s="1">
        <f t="shared" ref="L339:U342" si="314">AVERAGE(K264:L264)*L$2</f>
        <v>101297.83018867925</v>
      </c>
      <c r="M339" s="1">
        <f t="shared" si="314"/>
        <v>117013.49056603774</v>
      </c>
      <c r="N339" s="1">
        <f t="shared" si="314"/>
        <v>129578.44339622643</v>
      </c>
      <c r="O339" s="1">
        <f t="shared" si="314"/>
        <v>139556.49056603774</v>
      </c>
      <c r="P339" s="1">
        <f t="shared" si="314"/>
        <v>147676.93396226416</v>
      </c>
      <c r="Q339" s="1">
        <f t="shared" si="314"/>
        <v>155631.17924528301</v>
      </c>
      <c r="R339" s="1">
        <f t="shared" si="314"/>
        <v>162259.71698113205</v>
      </c>
      <c r="S339" s="1">
        <f t="shared" si="314"/>
        <v>168021.62264150946</v>
      </c>
      <c r="T339" s="1">
        <f t="shared" si="314"/>
        <v>172865.37735849057</v>
      </c>
      <c r="U339" s="1">
        <f t="shared" si="314"/>
        <v>178168.20754716982</v>
      </c>
      <c r="X339" s="1">
        <f>X311*1000000/X333</f>
        <v>9599.4492233430265</v>
      </c>
      <c r="Y339" s="1">
        <f>H339-X339</f>
        <v>9872.7357478160975</v>
      </c>
      <c r="Z339" s="1">
        <f>Z311*1000000/Z333</f>
        <v>11976.953987811694</v>
      </c>
      <c r="AA339" s="3">
        <f t="shared" ref="AA339:AE342" si="315">AVERAGE(Z264:AA264)*AA$2</f>
        <v>16928</v>
      </c>
      <c r="AB339" s="3">
        <f t="shared" si="315"/>
        <v>22806</v>
      </c>
      <c r="AC339" s="3">
        <f t="shared" si="315"/>
        <v>30912</v>
      </c>
      <c r="AD339" s="3">
        <f t="shared" si="315"/>
        <v>36582</v>
      </c>
      <c r="AE339" s="3">
        <f t="shared" si="315"/>
        <v>42964</v>
      </c>
    </row>
    <row r="340" spans="2:31" outlineLevel="1">
      <c r="C340" s="1" t="s">
        <v>188</v>
      </c>
      <c r="F340" s="1">
        <f t="shared" si="313"/>
        <v>22735.827232021958</v>
      </c>
      <c r="G340" s="1">
        <f t="shared" si="313"/>
        <v>27370.580156046719</v>
      </c>
      <c r="H340" s="1">
        <f t="shared" si="313"/>
        <v>35550.708366238192</v>
      </c>
      <c r="I340" s="3">
        <f t="shared" ref="I340:I342" si="316">Z340+AA340</f>
        <v>58624.078291764061</v>
      </c>
      <c r="J340" s="3">
        <f t="shared" ref="J340:J342" si="317">AB340+AC340</f>
        <v>96180</v>
      </c>
      <c r="K340" s="3">
        <f t="shared" ref="K340:K342" si="318">AD340+AE340</f>
        <v>147307</v>
      </c>
      <c r="L340" s="1">
        <f t="shared" si="314"/>
        <v>207685</v>
      </c>
      <c r="M340" s="1">
        <f t="shared" si="314"/>
        <v>258785</v>
      </c>
      <c r="N340" s="1">
        <f t="shared" si="314"/>
        <v>303497.5</v>
      </c>
      <c r="O340" s="1">
        <f t="shared" si="314"/>
        <v>342759</v>
      </c>
      <c r="P340" s="1">
        <f t="shared" si="314"/>
        <v>380147.5</v>
      </c>
      <c r="Q340" s="1">
        <f t="shared" si="314"/>
        <v>418472.5</v>
      </c>
      <c r="R340" s="1">
        <f t="shared" si="314"/>
        <v>450410</v>
      </c>
      <c r="S340" s="1">
        <f t="shared" si="314"/>
        <v>477264</v>
      </c>
      <c r="T340" s="1">
        <f t="shared" si="314"/>
        <v>501510</v>
      </c>
      <c r="U340" s="1">
        <f t="shared" si="314"/>
        <v>527060</v>
      </c>
      <c r="X340" s="1">
        <f>X312*1000000/X334</f>
        <v>15709.430105808524</v>
      </c>
      <c r="Y340" s="1">
        <f t="shared" ref="Y340:Y342" si="319">H340-X340</f>
        <v>19841.278260429666</v>
      </c>
      <c r="Z340" s="1">
        <f>Z312*1000000/Z334</f>
        <v>25504.078291764061</v>
      </c>
      <c r="AA340" s="3">
        <f t="shared" si="315"/>
        <v>33120</v>
      </c>
      <c r="AB340" s="3">
        <f t="shared" si="315"/>
        <v>41992</v>
      </c>
      <c r="AC340" s="3">
        <f t="shared" si="315"/>
        <v>54188</v>
      </c>
      <c r="AD340" s="3">
        <f t="shared" si="315"/>
        <v>65611</v>
      </c>
      <c r="AE340" s="3">
        <f t="shared" si="315"/>
        <v>81696</v>
      </c>
    </row>
    <row r="341" spans="2:31" outlineLevel="1">
      <c r="C341" s="1" t="s">
        <v>191</v>
      </c>
      <c r="F341" s="1">
        <f t="shared" si="313"/>
        <v>3590.5384569081671</v>
      </c>
      <c r="G341" s="1">
        <f t="shared" si="313"/>
        <v>7697.3021522344961</v>
      </c>
      <c r="H341" s="1">
        <f t="shared" si="313"/>
        <v>14449.145445548324</v>
      </c>
      <c r="I341" s="3">
        <f t="shared" si="316"/>
        <v>31987.1017538222</v>
      </c>
      <c r="J341" s="3">
        <f t="shared" si="317"/>
        <v>55264</v>
      </c>
      <c r="K341" s="3">
        <f t="shared" si="318"/>
        <v>108007</v>
      </c>
      <c r="L341" s="1">
        <f t="shared" si="314"/>
        <v>200743.11320754717</v>
      </c>
      <c r="M341" s="1">
        <f t="shared" si="314"/>
        <v>273729.33962264151</v>
      </c>
      <c r="N341" s="1">
        <f t="shared" si="314"/>
        <v>338778.53773584904</v>
      </c>
      <c r="O341" s="1">
        <f t="shared" si="314"/>
        <v>396792.33962264151</v>
      </c>
      <c r="P341" s="1">
        <f t="shared" si="314"/>
        <v>453732.87735849066</v>
      </c>
      <c r="Q341" s="1">
        <f t="shared" si="314"/>
        <v>512305.04716981133</v>
      </c>
      <c r="R341" s="1">
        <f t="shared" si="314"/>
        <v>561115.1886792453</v>
      </c>
      <c r="S341" s="1">
        <f t="shared" si="314"/>
        <v>601807.58490566059</v>
      </c>
      <c r="T341" s="1">
        <f t="shared" si="314"/>
        <v>639211.41509433975</v>
      </c>
      <c r="U341" s="1">
        <f t="shared" si="314"/>
        <v>678259.52830188698</v>
      </c>
      <c r="X341" s="1">
        <f>X313*1000000/X335</f>
        <v>6206.4630643721994</v>
      </c>
      <c r="Y341" s="1">
        <f t="shared" si="319"/>
        <v>8242.6823811761242</v>
      </c>
      <c r="Z341" s="1">
        <f>Z313*1000000/Z335</f>
        <v>13403.101753822202</v>
      </c>
      <c r="AA341" s="3">
        <f t="shared" si="315"/>
        <v>18584</v>
      </c>
      <c r="AB341" s="3">
        <f t="shared" si="315"/>
        <v>23892</v>
      </c>
      <c r="AC341" s="3">
        <f t="shared" si="315"/>
        <v>31372</v>
      </c>
      <c r="AD341" s="3">
        <f t="shared" si="315"/>
        <v>41951</v>
      </c>
      <c r="AE341" s="3">
        <f t="shared" si="315"/>
        <v>66056</v>
      </c>
    </row>
    <row r="342" spans="2:31" outlineLevel="1">
      <c r="C342" s="1" t="s">
        <v>192</v>
      </c>
      <c r="F342" s="1">
        <f t="shared" si="313"/>
        <v>1977.7479885106698</v>
      </c>
      <c r="G342" s="1">
        <f t="shared" si="313"/>
        <v>2859.3855197479884</v>
      </c>
      <c r="H342" s="1">
        <f t="shared" si="313"/>
        <v>4506.7609647830113</v>
      </c>
      <c r="I342" s="3">
        <f t="shared" si="316"/>
        <v>9687.8453507051163</v>
      </c>
      <c r="J342" s="3">
        <f t="shared" si="317"/>
        <v>15889.5</v>
      </c>
      <c r="K342" s="3">
        <f t="shared" si="318"/>
        <v>25549</v>
      </c>
      <c r="L342" s="1">
        <f t="shared" si="314"/>
        <v>37044.056603773592</v>
      </c>
      <c r="M342" s="1">
        <f t="shared" si="314"/>
        <v>43242.169811320753</v>
      </c>
      <c r="N342" s="1">
        <f t="shared" si="314"/>
        <v>48665.518867924518</v>
      </c>
      <c r="O342" s="1">
        <f t="shared" si="314"/>
        <v>53460.169811320731</v>
      </c>
      <c r="P342" s="1">
        <f t="shared" si="314"/>
        <v>57962.68867924525</v>
      </c>
      <c r="Q342" s="1">
        <f t="shared" si="314"/>
        <v>62611.273584905612</v>
      </c>
      <c r="R342" s="1">
        <f t="shared" si="314"/>
        <v>66485.094339622592</v>
      </c>
      <c r="S342" s="1">
        <f t="shared" si="314"/>
        <v>69774.792452830137</v>
      </c>
      <c r="T342" s="1">
        <f t="shared" si="314"/>
        <v>72683.207547169761</v>
      </c>
      <c r="U342" s="1">
        <f t="shared" si="314"/>
        <v>75782.264150943345</v>
      </c>
      <c r="X342" s="1">
        <f>X314*1000000/X336</f>
        <v>1785.5837802793656</v>
      </c>
      <c r="Y342" s="1">
        <f t="shared" si="319"/>
        <v>2721.1771845036455</v>
      </c>
      <c r="Z342" s="1">
        <f>Z314*1000000/Z336</f>
        <v>4075.8453507051167</v>
      </c>
      <c r="AA342" s="3">
        <f t="shared" si="315"/>
        <v>5612</v>
      </c>
      <c r="AB342" s="3">
        <f t="shared" si="315"/>
        <v>7149.5</v>
      </c>
      <c r="AC342" s="3">
        <f t="shared" si="315"/>
        <v>8740</v>
      </c>
      <c r="AD342" s="3">
        <f t="shared" si="315"/>
        <v>10829</v>
      </c>
      <c r="AE342" s="3">
        <f t="shared" si="315"/>
        <v>14720</v>
      </c>
    </row>
    <row r="343" spans="2:31" outlineLevel="1"/>
    <row r="344" spans="2:31" ht="19" outlineLevel="1">
      <c r="C344" s="39" t="s">
        <v>202</v>
      </c>
      <c r="F344" s="1">
        <f t="shared" ref="F344:K348" si="320">F338/F263</f>
        <v>314.44635716567217</v>
      </c>
      <c r="G344" s="1">
        <f t="shared" si="320"/>
        <v>325.410833319311</v>
      </c>
      <c r="H344" s="1">
        <f t="shared" si="320"/>
        <v>270.98461446054449</v>
      </c>
      <c r="I344" s="1">
        <f t="shared" si="320"/>
        <v>277.26175833498513</v>
      </c>
      <c r="J344" s="1">
        <f t="shared" si="320"/>
        <v>287.82747395833331</v>
      </c>
      <c r="K344" s="1">
        <f t="shared" si="320"/>
        <v>277.66486902927579</v>
      </c>
      <c r="X344" s="1">
        <f t="shared" ref="X344:AE348" si="321">X338/X263</f>
        <v>164.04397129952275</v>
      </c>
      <c r="Y344" s="1">
        <f t="shared" si="321"/>
        <v>149.00319990448915</v>
      </c>
      <c r="Z344" s="1">
        <f t="shared" si="321"/>
        <v>161.1729600706835</v>
      </c>
      <c r="AA344" s="1">
        <f t="shared" si="321"/>
        <v>159.32188841201716</v>
      </c>
      <c r="AB344" s="1">
        <f t="shared" si="321"/>
        <v>161.61804384485666</v>
      </c>
      <c r="AC344" s="1">
        <f t="shared" si="321"/>
        <v>163.03645833333334</v>
      </c>
      <c r="AD344" s="1">
        <f t="shared" si="321"/>
        <v>165.74652406417113</v>
      </c>
      <c r="AE344" s="1">
        <f t="shared" si="321"/>
        <v>158.27118644067798</v>
      </c>
    </row>
    <row r="345" spans="2:31" outlineLevel="1">
      <c r="C345" s="1" t="s">
        <v>187</v>
      </c>
      <c r="F345" s="1">
        <f t="shared" si="320"/>
        <v>352.10108937494675</v>
      </c>
      <c r="G345" s="1">
        <f t="shared" si="320"/>
        <v>351.72797883944605</v>
      </c>
      <c r="H345" s="1">
        <f t="shared" si="320"/>
        <v>299.57207647937116</v>
      </c>
      <c r="I345" s="1">
        <f t="shared" si="320"/>
        <v>272.68824516803483</v>
      </c>
      <c r="J345" s="1">
        <f t="shared" si="320"/>
        <v>282.72631578947369</v>
      </c>
      <c r="K345" s="1">
        <f t="shared" si="320"/>
        <v>311.94509803921568</v>
      </c>
      <c r="X345" s="1">
        <f t="shared" si="321"/>
        <v>168.411389883211</v>
      </c>
      <c r="Y345" s="1">
        <f t="shared" si="321"/>
        <v>151.88824227409381</v>
      </c>
      <c r="Z345" s="1">
        <f t="shared" si="321"/>
        <v>153.55069215143197</v>
      </c>
      <c r="AA345" s="1">
        <f t="shared" si="321"/>
        <v>159.69811320754718</v>
      </c>
      <c r="AB345" s="1">
        <f t="shared" si="321"/>
        <v>156.20547945205479</v>
      </c>
      <c r="AC345" s="1">
        <f t="shared" si="321"/>
        <v>162.69473684210527</v>
      </c>
      <c r="AD345" s="1">
        <f t="shared" si="321"/>
        <v>172.5566037735849</v>
      </c>
      <c r="AE345" s="1">
        <f t="shared" si="321"/>
        <v>168.48627450980393</v>
      </c>
    </row>
    <row r="346" spans="2:31" outlineLevel="1">
      <c r="C346" s="1" t="s">
        <v>188</v>
      </c>
      <c r="F346" s="1">
        <f t="shared" si="320"/>
        <v>320.22291876087263</v>
      </c>
      <c r="G346" s="1">
        <f t="shared" si="320"/>
        <v>329.76602597646649</v>
      </c>
      <c r="H346" s="1">
        <f t="shared" si="320"/>
        <v>296.25590305198494</v>
      </c>
      <c r="I346" s="1">
        <f t="shared" si="320"/>
        <v>283.20810768968147</v>
      </c>
      <c r="J346" s="1">
        <f t="shared" si="320"/>
        <v>289.69879518072287</v>
      </c>
      <c r="K346" s="1">
        <f t="shared" si="320"/>
        <v>295.20440881763528</v>
      </c>
      <c r="X346" s="1">
        <f t="shared" si="321"/>
        <v>165.36242216640551</v>
      </c>
      <c r="Y346" s="1">
        <f t="shared" si="321"/>
        <v>165.34398550358054</v>
      </c>
      <c r="Z346" s="1">
        <f t="shared" si="321"/>
        <v>166.69332216839254</v>
      </c>
      <c r="AA346" s="1">
        <f t="shared" si="321"/>
        <v>160</v>
      </c>
      <c r="AB346" s="1">
        <f t="shared" si="321"/>
        <v>163.3929961089494</v>
      </c>
      <c r="AC346" s="1">
        <f t="shared" si="321"/>
        <v>163.21686746987953</v>
      </c>
      <c r="AD346" s="1">
        <f t="shared" si="321"/>
        <v>168.66580976863753</v>
      </c>
      <c r="AE346" s="1">
        <f t="shared" si="321"/>
        <v>163.71943887775552</v>
      </c>
    </row>
    <row r="347" spans="2:31" outlineLevel="1">
      <c r="C347" s="1" t="s">
        <v>191</v>
      </c>
      <c r="F347" s="1">
        <f t="shared" si="320"/>
        <v>199.4743587171204</v>
      </c>
      <c r="G347" s="1">
        <f t="shared" si="320"/>
        <v>265.42421214601711</v>
      </c>
      <c r="H347" s="1">
        <f t="shared" si="320"/>
        <v>209.40790500794671</v>
      </c>
      <c r="I347" s="1">
        <f t="shared" si="320"/>
        <v>273.39403208395044</v>
      </c>
      <c r="J347" s="1">
        <f t="shared" si="320"/>
        <v>284.86597938144331</v>
      </c>
      <c r="K347" s="1">
        <f t="shared" si="320"/>
        <v>239.48337028824832</v>
      </c>
      <c r="X347" s="1">
        <f t="shared" si="321"/>
        <v>159.14007857364615</v>
      </c>
      <c r="Y347" s="1">
        <f t="shared" si="321"/>
        <v>119.45916494458152</v>
      </c>
      <c r="Z347" s="1">
        <f t="shared" si="321"/>
        <v>157.68355004496709</v>
      </c>
      <c r="AA347" s="1">
        <f t="shared" si="321"/>
        <v>158.83760683760684</v>
      </c>
      <c r="AB347" s="1">
        <f t="shared" si="321"/>
        <v>162.53061224489795</v>
      </c>
      <c r="AC347" s="1">
        <f t="shared" si="321"/>
        <v>161.71134020618555</v>
      </c>
      <c r="AD347" s="1">
        <f t="shared" si="321"/>
        <v>157.11985018726591</v>
      </c>
      <c r="AE347" s="1">
        <f t="shared" si="321"/>
        <v>146.46563192904657</v>
      </c>
    </row>
    <row r="348" spans="2:31" outlineLevel="1">
      <c r="C348" s="1" t="s">
        <v>192</v>
      </c>
      <c r="F348" s="1">
        <f t="shared" si="320"/>
        <v>282.5354269300957</v>
      </c>
      <c r="G348" s="1">
        <f t="shared" si="320"/>
        <v>317.70950219422093</v>
      </c>
      <c r="H348" s="1">
        <f t="shared" si="320"/>
        <v>237.19794551489534</v>
      </c>
      <c r="I348" s="1">
        <f t="shared" si="320"/>
        <v>269.10681529736434</v>
      </c>
      <c r="J348" s="1">
        <f t="shared" si="320"/>
        <v>305.56730769230768</v>
      </c>
      <c r="K348" s="1">
        <f t="shared" si="320"/>
        <v>274.72043010752691</v>
      </c>
      <c r="X348" s="1">
        <f t="shared" si="321"/>
        <v>148.7986483566138</v>
      </c>
      <c r="Y348" s="1">
        <f t="shared" si="321"/>
        <v>143.21985181598134</v>
      </c>
      <c r="Z348" s="1">
        <f t="shared" si="321"/>
        <v>163.03381402820466</v>
      </c>
      <c r="AA348" s="1">
        <f t="shared" si="321"/>
        <v>155.88888888888889</v>
      </c>
      <c r="AB348" s="1">
        <f t="shared" si="321"/>
        <v>166.26744186046511</v>
      </c>
      <c r="AC348" s="1">
        <f t="shared" si="321"/>
        <v>168.07692307692307</v>
      </c>
      <c r="AD348" s="1">
        <f t="shared" si="321"/>
        <v>161.62686567164178</v>
      </c>
      <c r="AE348" s="1">
        <f t="shared" si="321"/>
        <v>158.27956989247312</v>
      </c>
    </row>
    <row r="349" spans="2:31" outlineLevel="1"/>
    <row r="350" spans="2:31">
      <c r="B350" s="1" t="s">
        <v>203</v>
      </c>
      <c r="F350" s="22">
        <f t="shared" ref="F350:U350" si="322">F375*1000/F338</f>
        <v>125.97943359773591</v>
      </c>
      <c r="G350" s="22">
        <f t="shared" si="322"/>
        <v>133.7968460905399</v>
      </c>
      <c r="H350" s="22">
        <f t="shared" si="322"/>
        <v>140.74246994416362</v>
      </c>
      <c r="I350" s="22">
        <f t="shared" si="322"/>
        <v>127.95040120903597</v>
      </c>
      <c r="J350" s="22">
        <f t="shared" si="322"/>
        <v>116.16018891525277</v>
      </c>
      <c r="K350" s="22">
        <f t="shared" si="322"/>
        <v>76.500276075236741</v>
      </c>
      <c r="L350" s="22">
        <f t="shared" si="322"/>
        <v>113.97865150620922</v>
      </c>
      <c r="M350" s="22">
        <f t="shared" si="322"/>
        <v>118.67247003144124</v>
      </c>
      <c r="N350" s="22">
        <f t="shared" si="322"/>
        <v>117.61208782944773</v>
      </c>
      <c r="O350" s="22">
        <f t="shared" si="322"/>
        <v>117.13137350708678</v>
      </c>
      <c r="P350" s="22">
        <f t="shared" si="322"/>
        <v>117.50467007438644</v>
      </c>
      <c r="Q350" s="22">
        <f t="shared" si="322"/>
        <v>118.81802474362671</v>
      </c>
      <c r="R350" s="22">
        <f t="shared" si="322"/>
        <v>120.69097067383926</v>
      </c>
      <c r="S350" s="22">
        <f t="shared" si="322"/>
        <v>122.71437619186386</v>
      </c>
      <c r="T350" s="22">
        <f t="shared" si="322"/>
        <v>125.2572129471385</v>
      </c>
      <c r="U350" s="22">
        <f t="shared" si="322"/>
        <v>127.95734420317706</v>
      </c>
    </row>
    <row r="351" spans="2:31" s="22" customFormat="1" outlineLevel="1">
      <c r="C351" s="22" t="s">
        <v>187</v>
      </c>
      <c r="F351" s="22">
        <f t="shared" ref="F351:K354" si="323">F377*1000/F339</f>
        <v>131.59840000000003</v>
      </c>
      <c r="G351" s="22">
        <f t="shared" si="323"/>
        <v>140.2816</v>
      </c>
      <c r="H351" s="22">
        <f t="shared" si="323"/>
        <v>151.9718</v>
      </c>
      <c r="I351" s="22">
        <f t="shared" si="323"/>
        <v>139.61793544807946</v>
      </c>
      <c r="J351" s="22">
        <f t="shared" si="323"/>
        <v>120.66020700696228</v>
      </c>
      <c r="K351" s="22">
        <f t="shared" si="323"/>
        <v>74.555439619842602</v>
      </c>
      <c r="X351" s="22">
        <f t="shared" ref="X351:AE354" si="324">X377*1000/X339</f>
        <v>148.66280000000003</v>
      </c>
      <c r="Y351" s="22">
        <f t="shared" si="324"/>
        <v>155.18920379682177</v>
      </c>
      <c r="Z351" s="22">
        <f t="shared" si="324"/>
        <v>150.30799999999999</v>
      </c>
      <c r="AA351" s="22">
        <f t="shared" si="324"/>
        <v>132.05446597353497</v>
      </c>
      <c r="AB351" s="22">
        <f t="shared" si="324"/>
        <v>125.61773217574323</v>
      </c>
      <c r="AC351" s="22">
        <f t="shared" si="324"/>
        <v>117.00268504140787</v>
      </c>
      <c r="AD351" s="22">
        <f t="shared" si="324"/>
        <v>55.199360341151383</v>
      </c>
      <c r="AE351" s="22">
        <f t="shared" si="324"/>
        <v>91.036309468392147</v>
      </c>
    </row>
    <row r="352" spans="2:31" s="22" customFormat="1" outlineLevel="1">
      <c r="C352" s="22" t="s">
        <v>188</v>
      </c>
      <c r="F352" s="22">
        <f t="shared" si="323"/>
        <v>126.65309999999998</v>
      </c>
      <c r="G352" s="22">
        <f t="shared" si="323"/>
        <v>137.97149999999999</v>
      </c>
      <c r="H352" s="22">
        <f t="shared" si="323"/>
        <v>147.1414</v>
      </c>
      <c r="I352" s="22">
        <f t="shared" si="323"/>
        <v>132.96319920299842</v>
      </c>
      <c r="J352" s="22">
        <f t="shared" si="323"/>
        <v>115.85281763360366</v>
      </c>
      <c r="K352" s="22">
        <f t="shared" si="323"/>
        <v>76.520002443875711</v>
      </c>
      <c r="X352" s="22">
        <f t="shared" si="324"/>
        <v>148.92940000000002</v>
      </c>
      <c r="Y352" s="22">
        <f t="shared" si="324"/>
        <v>145.72574216482894</v>
      </c>
      <c r="Z352" s="22">
        <f t="shared" si="324"/>
        <v>139.88700000000003</v>
      </c>
      <c r="AA352" s="22">
        <f t="shared" si="324"/>
        <v>127.63152173913046</v>
      </c>
      <c r="AB352" s="22">
        <f t="shared" si="324"/>
        <v>119.65090969708515</v>
      </c>
      <c r="AC352" s="22">
        <f t="shared" si="324"/>
        <v>112.90955562117074</v>
      </c>
      <c r="AD352" s="22">
        <f t="shared" si="324"/>
        <v>57.938272545762146</v>
      </c>
      <c r="AE352" s="22">
        <f t="shared" si="324"/>
        <v>91.443204073638867</v>
      </c>
    </row>
    <row r="353" spans="2:31" s="22" customFormat="1" outlineLevel="1">
      <c r="C353" s="22" t="s">
        <v>191</v>
      </c>
      <c r="F353" s="22">
        <f t="shared" si="323"/>
        <v>86.387600000000006</v>
      </c>
      <c r="G353" s="22">
        <f t="shared" si="323"/>
        <v>95.305599999999998</v>
      </c>
      <c r="H353" s="22">
        <f t="shared" si="323"/>
        <v>105.084</v>
      </c>
      <c r="I353" s="22">
        <f t="shared" si="323"/>
        <v>105.62573083371885</v>
      </c>
      <c r="J353" s="22">
        <f t="shared" si="323"/>
        <v>104.57134843659526</v>
      </c>
      <c r="K353" s="22">
        <f t="shared" si="323"/>
        <v>75.390558019387626</v>
      </c>
      <c r="X353" s="22">
        <f t="shared" si="324"/>
        <v>102.5365</v>
      </c>
      <c r="Y353" s="22">
        <f t="shared" si="324"/>
        <v>107.00218196132315</v>
      </c>
      <c r="Z353" s="22">
        <f t="shared" si="324"/>
        <v>104.56019999999998</v>
      </c>
      <c r="AA353" s="22">
        <f t="shared" si="324"/>
        <v>106.39421007318123</v>
      </c>
      <c r="AB353" s="22">
        <f t="shared" si="324"/>
        <v>105.97898878285619</v>
      </c>
      <c r="AC353" s="22">
        <f t="shared" si="324"/>
        <v>103.49933061328574</v>
      </c>
      <c r="AD353" s="22">
        <f t="shared" si="324"/>
        <v>58.415103334843032</v>
      </c>
      <c r="AE353" s="22">
        <f t="shared" si="324"/>
        <v>86.171369746881425</v>
      </c>
    </row>
    <row r="354" spans="2:31" s="22" customFormat="1" outlineLevel="1">
      <c r="C354" s="22" t="s">
        <v>192</v>
      </c>
      <c r="F354" s="22">
        <f t="shared" si="323"/>
        <v>140.09520000000001</v>
      </c>
      <c r="G354" s="22">
        <f t="shared" si="323"/>
        <v>153.58019999999999</v>
      </c>
      <c r="H354" s="22">
        <f t="shared" si="323"/>
        <v>156.07239999999999</v>
      </c>
      <c r="I354" s="22">
        <f t="shared" si="323"/>
        <v>136.51590752362085</v>
      </c>
      <c r="J354" s="22">
        <f t="shared" si="323"/>
        <v>143.11362849680606</v>
      </c>
      <c r="K354" s="22">
        <f t="shared" si="323"/>
        <v>87.132999334611924</v>
      </c>
      <c r="X354" s="22">
        <f t="shared" si="324"/>
        <v>152.70300000000003</v>
      </c>
      <c r="Y354" s="22">
        <f t="shared" si="324"/>
        <v>158.28333504073703</v>
      </c>
      <c r="Z354" s="22">
        <f t="shared" si="324"/>
        <v>130.60259999999997</v>
      </c>
      <c r="AA354" s="22">
        <f t="shared" si="324"/>
        <v>140.81058446186742</v>
      </c>
      <c r="AB354" s="22">
        <f t="shared" si="324"/>
        <v>134.28141828099868</v>
      </c>
      <c r="AC354" s="22">
        <f t="shared" si="324"/>
        <v>150.33855835240271</v>
      </c>
      <c r="AD354" s="22">
        <f t="shared" si="324"/>
        <v>82.63486933234833</v>
      </c>
      <c r="AE354" s="22">
        <f t="shared" si="324"/>
        <v>90.442119565217396</v>
      </c>
    </row>
    <row r="355" spans="2:31" outlineLevel="1"/>
    <row r="357" spans="2:31" s="6" customFormat="1">
      <c r="B357" s="6" t="s">
        <v>204</v>
      </c>
      <c r="F357" s="41">
        <v>4</v>
      </c>
      <c r="G357" s="41">
        <v>4.5</v>
      </c>
      <c r="H357" s="41">
        <v>5</v>
      </c>
      <c r="I357" s="41">
        <v>5</v>
      </c>
      <c r="J357" s="41">
        <v>4.8</v>
      </c>
      <c r="K357" s="41">
        <v>3.5</v>
      </c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X357" s="41">
        <v>5</v>
      </c>
      <c r="Y357" s="41"/>
      <c r="Z357" s="41">
        <v>4.9000000000000004</v>
      </c>
      <c r="AA357" s="41"/>
      <c r="AB357" s="41">
        <v>4.8</v>
      </c>
      <c r="AC357" s="41"/>
      <c r="AD357" s="41">
        <v>3.3</v>
      </c>
      <c r="AE357" s="41"/>
    </row>
    <row r="358" spans="2:31" s="43" customFormat="1">
      <c r="C358" s="43" t="s">
        <v>187</v>
      </c>
      <c r="F358" s="44">
        <v>3.9</v>
      </c>
      <c r="G358" s="44">
        <v>4.3</v>
      </c>
      <c r="H358" s="44">
        <v>4.8</v>
      </c>
      <c r="I358" s="44">
        <v>5.0999999999999996</v>
      </c>
      <c r="J358" s="44">
        <v>4.7</v>
      </c>
      <c r="K358" s="44">
        <v>3.4</v>
      </c>
      <c r="L358" s="45">
        <v>4.5</v>
      </c>
      <c r="M358" s="45">
        <v>4.7</v>
      </c>
      <c r="N358" s="45">
        <f t="shared" ref="N358:U361" si="325">M358</f>
        <v>4.7</v>
      </c>
      <c r="O358" s="45">
        <f t="shared" si="325"/>
        <v>4.7</v>
      </c>
      <c r="P358" s="45">
        <f t="shared" si="325"/>
        <v>4.7</v>
      </c>
      <c r="Q358" s="45">
        <f t="shared" si="325"/>
        <v>4.7</v>
      </c>
      <c r="R358" s="45">
        <f t="shared" si="325"/>
        <v>4.7</v>
      </c>
      <c r="S358" s="45">
        <f t="shared" si="325"/>
        <v>4.7</v>
      </c>
      <c r="T358" s="45">
        <f t="shared" si="325"/>
        <v>4.7</v>
      </c>
      <c r="U358" s="45">
        <f t="shared" si="325"/>
        <v>4.7</v>
      </c>
      <c r="X358" s="44">
        <v>4.7</v>
      </c>
      <c r="Z358" s="44">
        <v>4.9000000000000004</v>
      </c>
      <c r="AB358" s="44">
        <v>4.8</v>
      </c>
      <c r="AD358" s="44">
        <v>3</v>
      </c>
    </row>
    <row r="359" spans="2:31" s="43" customFormat="1">
      <c r="C359" s="43" t="s">
        <v>188</v>
      </c>
      <c r="F359" s="44">
        <v>4.0999999999999996</v>
      </c>
      <c r="G359" s="44">
        <v>4.8</v>
      </c>
      <c r="H359" s="44">
        <v>5.2</v>
      </c>
      <c r="I359" s="44">
        <v>5.3</v>
      </c>
      <c r="J359" s="44">
        <v>4.9000000000000004</v>
      </c>
      <c r="K359" s="44">
        <v>3.6</v>
      </c>
      <c r="L359" s="45">
        <v>4.7</v>
      </c>
      <c r="M359" s="45">
        <f t="shared" ref="M359:M361" si="326">J359</f>
        <v>4.9000000000000004</v>
      </c>
      <c r="N359" s="45">
        <f t="shared" si="325"/>
        <v>4.9000000000000004</v>
      </c>
      <c r="O359" s="45">
        <f t="shared" si="325"/>
        <v>4.9000000000000004</v>
      </c>
      <c r="P359" s="45">
        <f t="shared" si="325"/>
        <v>4.9000000000000004</v>
      </c>
      <c r="Q359" s="45">
        <f t="shared" si="325"/>
        <v>4.9000000000000004</v>
      </c>
      <c r="R359" s="45">
        <f t="shared" si="325"/>
        <v>4.9000000000000004</v>
      </c>
      <c r="S359" s="45">
        <f t="shared" si="325"/>
        <v>4.9000000000000004</v>
      </c>
      <c r="T359" s="45">
        <f t="shared" si="325"/>
        <v>4.9000000000000004</v>
      </c>
      <c r="U359" s="45">
        <f t="shared" si="325"/>
        <v>4.9000000000000004</v>
      </c>
      <c r="X359" s="44">
        <v>5.2</v>
      </c>
      <c r="Z359" s="44">
        <v>5.0999999999999996</v>
      </c>
      <c r="AB359" s="44">
        <v>5</v>
      </c>
      <c r="AD359" s="44">
        <v>3.5</v>
      </c>
    </row>
    <row r="360" spans="2:31" s="43" customFormat="1">
      <c r="C360" s="43" t="s">
        <v>191</v>
      </c>
      <c r="F360" s="44">
        <v>3.5</v>
      </c>
      <c r="G360" s="44">
        <v>4.3</v>
      </c>
      <c r="H360" s="44">
        <v>4.7</v>
      </c>
      <c r="I360" s="44">
        <v>4.8</v>
      </c>
      <c r="J360" s="44">
        <v>4.7</v>
      </c>
      <c r="K360" s="44">
        <v>3.6</v>
      </c>
      <c r="L360" s="45">
        <v>4.7</v>
      </c>
      <c r="M360" s="45">
        <f t="shared" si="326"/>
        <v>4.7</v>
      </c>
      <c r="N360" s="45">
        <f t="shared" si="325"/>
        <v>4.7</v>
      </c>
      <c r="O360" s="45">
        <f t="shared" si="325"/>
        <v>4.7</v>
      </c>
      <c r="P360" s="45">
        <f t="shared" si="325"/>
        <v>4.7</v>
      </c>
      <c r="Q360" s="45">
        <f t="shared" si="325"/>
        <v>4.7</v>
      </c>
      <c r="R360" s="45">
        <f t="shared" si="325"/>
        <v>4.7</v>
      </c>
      <c r="S360" s="45">
        <f t="shared" si="325"/>
        <v>4.7</v>
      </c>
      <c r="T360" s="45">
        <f t="shared" si="325"/>
        <v>4.7</v>
      </c>
      <c r="U360" s="45">
        <f t="shared" si="325"/>
        <v>4.7</v>
      </c>
      <c r="X360" s="44">
        <v>4.7</v>
      </c>
      <c r="Z360" s="44">
        <v>4.5999999999999996</v>
      </c>
      <c r="AB360" s="44">
        <v>4.7</v>
      </c>
      <c r="AD360" s="44">
        <v>3.6</v>
      </c>
    </row>
    <row r="361" spans="2:31" s="43" customFormat="1">
      <c r="C361" s="43" t="s">
        <v>192</v>
      </c>
      <c r="F361" s="44">
        <v>4.4000000000000004</v>
      </c>
      <c r="G361" s="44">
        <v>4.8</v>
      </c>
      <c r="H361" s="44">
        <v>4.4000000000000004</v>
      </c>
      <c r="I361" s="44">
        <v>3.8</v>
      </c>
      <c r="J361" s="44">
        <v>4.0999999999999996</v>
      </c>
      <c r="K361" s="44">
        <v>2.8</v>
      </c>
      <c r="L361" s="45">
        <v>3.5</v>
      </c>
      <c r="M361" s="45">
        <f t="shared" si="326"/>
        <v>4.0999999999999996</v>
      </c>
      <c r="N361" s="45">
        <f t="shared" si="325"/>
        <v>4.0999999999999996</v>
      </c>
      <c r="O361" s="45">
        <f t="shared" si="325"/>
        <v>4.0999999999999996</v>
      </c>
      <c r="P361" s="45">
        <f t="shared" si="325"/>
        <v>4.0999999999999996</v>
      </c>
      <c r="Q361" s="45">
        <f t="shared" si="325"/>
        <v>4.0999999999999996</v>
      </c>
      <c r="R361" s="45">
        <f t="shared" si="325"/>
        <v>4.0999999999999996</v>
      </c>
      <c r="S361" s="45">
        <f t="shared" si="325"/>
        <v>4.0999999999999996</v>
      </c>
      <c r="T361" s="45">
        <f t="shared" si="325"/>
        <v>4.0999999999999996</v>
      </c>
      <c r="U361" s="45">
        <f t="shared" si="325"/>
        <v>4.0999999999999996</v>
      </c>
      <c r="X361" s="44">
        <v>4.4000000000000004</v>
      </c>
      <c r="Z361" s="44">
        <v>3.7</v>
      </c>
      <c r="AB361" s="44">
        <v>3.9</v>
      </c>
      <c r="AD361" s="44">
        <v>2.6</v>
      </c>
    </row>
    <row r="363" spans="2:31">
      <c r="B363" s="1" t="s">
        <v>205</v>
      </c>
      <c r="F363" s="1">
        <f t="shared" ref="F363:K367" si="327">F332/F357</f>
        <v>343.31024308418154</v>
      </c>
      <c r="G363" s="1">
        <f t="shared" si="327"/>
        <v>314.63918229371836</v>
      </c>
      <c r="H363" s="1">
        <f t="shared" si="327"/>
        <v>288.13092111968984</v>
      </c>
      <c r="I363" s="1">
        <f t="shared" si="327"/>
        <v>253.21362842979093</v>
      </c>
      <c r="J363" s="1">
        <f t="shared" si="327"/>
        <v>230.09174657772132</v>
      </c>
      <c r="K363" s="1">
        <f t="shared" si="327"/>
        <v>198.58515329684172</v>
      </c>
      <c r="X363" s="1">
        <f t="shared" ref="X363" si="328">X332/X357</f>
        <v>289.58707654236531</v>
      </c>
      <c r="Z363" s="1">
        <f t="shared" ref="Z363" si="329">Z332/Z357</f>
        <v>270.46590559760028</v>
      </c>
      <c r="AB363" s="1">
        <f t="shared" ref="AB363" si="330">AB332/AB357</f>
        <v>236.91866190370433</v>
      </c>
      <c r="AD363" s="1">
        <f t="shared" ref="AD363" si="331">AD332/AD357</f>
        <v>158.86068298651418</v>
      </c>
    </row>
    <row r="364" spans="2:31">
      <c r="C364" s="43" t="s">
        <v>187</v>
      </c>
      <c r="F364" s="1">
        <f t="shared" si="327"/>
        <v>362.05128205128204</v>
      </c>
      <c r="G364" s="1">
        <f t="shared" si="327"/>
        <v>342.32558139534888</v>
      </c>
      <c r="H364" s="1">
        <f t="shared" si="327"/>
        <v>322.08333333333337</v>
      </c>
      <c r="I364" s="1">
        <f t="shared" si="327"/>
        <v>258.02135508136888</v>
      </c>
      <c r="J364" s="1">
        <f t="shared" si="327"/>
        <v>233.173337598242</v>
      </c>
      <c r="K364" s="1">
        <f t="shared" si="327"/>
        <v>188.70972871277365</v>
      </c>
      <c r="L364" s="1">
        <f t="shared" ref="L364:U367" si="332">K364*(1+L370)</f>
        <v>213.37202926877848</v>
      </c>
      <c r="M364" s="1">
        <f t="shared" si="332"/>
        <v>202.70342780533954</v>
      </c>
      <c r="N364" s="1">
        <f t="shared" si="332"/>
        <v>186.48715358091238</v>
      </c>
      <c r="O364" s="1">
        <f t="shared" si="332"/>
        <v>173.4330528302485</v>
      </c>
      <c r="P364" s="1">
        <f t="shared" si="332"/>
        <v>163.02706966043357</v>
      </c>
      <c r="Q364" s="1">
        <f t="shared" si="332"/>
        <v>154.87571617741187</v>
      </c>
      <c r="R364" s="1">
        <f t="shared" si="332"/>
        <v>147.13193036854128</v>
      </c>
      <c r="S364" s="1">
        <f t="shared" si="332"/>
        <v>139.77533385011421</v>
      </c>
      <c r="T364" s="1">
        <f t="shared" si="332"/>
        <v>132.78656715760849</v>
      </c>
      <c r="U364" s="1">
        <f t="shared" si="332"/>
        <v>126.14723879972806</v>
      </c>
      <c r="X364" s="1">
        <f>X333/X358</f>
        <v>312.55319148936167</v>
      </c>
      <c r="Z364" s="1">
        <f>Z333/Z358</f>
        <v>289.38775510204079</v>
      </c>
      <c r="AB364" s="1">
        <f>AB333/AB358</f>
        <v>237.91237154496824</v>
      </c>
      <c r="AD364" s="1">
        <f>AD333/AD358</f>
        <v>155.79836393212361</v>
      </c>
    </row>
    <row r="365" spans="2:31">
      <c r="C365" s="43" t="s">
        <v>188</v>
      </c>
      <c r="F365" s="1">
        <f t="shared" si="327"/>
        <v>358.78048780487808</v>
      </c>
      <c r="G365" s="1">
        <f t="shared" si="327"/>
        <v>324.79166666666669</v>
      </c>
      <c r="H365" s="1">
        <f t="shared" si="327"/>
        <v>305.57692307692309</v>
      </c>
      <c r="I365" s="1">
        <f t="shared" si="327"/>
        <v>264.6349797050363</v>
      </c>
      <c r="J365" s="1">
        <f t="shared" si="327"/>
        <v>237.86149064510258</v>
      </c>
      <c r="K365" s="1">
        <f t="shared" si="327"/>
        <v>201.09324725080344</v>
      </c>
      <c r="L365" s="1">
        <f t="shared" si="332"/>
        <v>220.11232038708056</v>
      </c>
      <c r="M365" s="1">
        <f t="shared" si="332"/>
        <v>202.50333475611413</v>
      </c>
      <c r="N365" s="1">
        <f t="shared" si="332"/>
        <v>186.303067975625</v>
      </c>
      <c r="O365" s="1">
        <f t="shared" si="332"/>
        <v>171.398822537575</v>
      </c>
      <c r="P365" s="1">
        <f t="shared" si="332"/>
        <v>159.40090495994474</v>
      </c>
      <c r="Q365" s="1">
        <f t="shared" si="332"/>
        <v>148.24284161274861</v>
      </c>
      <c r="R365" s="1">
        <f t="shared" si="332"/>
        <v>139.34827111598369</v>
      </c>
      <c r="S365" s="1">
        <f t="shared" si="332"/>
        <v>130.98737484902466</v>
      </c>
      <c r="T365" s="1">
        <f t="shared" si="332"/>
        <v>124.43800610657343</v>
      </c>
      <c r="U365" s="1">
        <f t="shared" si="332"/>
        <v>118.21610580124475</v>
      </c>
      <c r="X365" s="1">
        <f>X334/X359</f>
        <v>315.76923076923077</v>
      </c>
      <c r="Z365" s="1">
        <f>Z334/Z359</f>
        <v>291.1764705882353</v>
      </c>
      <c r="AB365" s="1">
        <f>AB334/AB359</f>
        <v>243.19290588838447</v>
      </c>
      <c r="AD365" s="1">
        <f>AD334/AD359</f>
        <v>154.13214297888302</v>
      </c>
    </row>
    <row r="366" spans="2:31">
      <c r="C366" s="43" t="s">
        <v>191</v>
      </c>
      <c r="F366" s="1">
        <f t="shared" si="327"/>
        <v>274.85714285714283</v>
      </c>
      <c r="G366" s="1">
        <f t="shared" si="327"/>
        <v>238.83720930232559</v>
      </c>
      <c r="H366" s="1">
        <f t="shared" si="327"/>
        <v>236.59574468085106</v>
      </c>
      <c r="I366" s="1">
        <f t="shared" si="327"/>
        <v>238.92899663798147</v>
      </c>
      <c r="J366" s="1">
        <f t="shared" si="327"/>
        <v>234.44913668720767</v>
      </c>
      <c r="K366" s="1">
        <f t="shared" si="327"/>
        <v>209.00021628794525</v>
      </c>
      <c r="L366" s="1">
        <f t="shared" si="332"/>
        <v>229.59671211305675</v>
      </c>
      <c r="M366" s="1">
        <f t="shared" si="332"/>
        <v>227.30074499192619</v>
      </c>
      <c r="N366" s="1">
        <f t="shared" si="332"/>
        <v>225.02773754200692</v>
      </c>
      <c r="O366" s="1">
        <f t="shared" si="332"/>
        <v>222.77746016658685</v>
      </c>
      <c r="P366" s="1">
        <f t="shared" si="332"/>
        <v>220.54968556492099</v>
      </c>
      <c r="Q366" s="1">
        <f t="shared" si="332"/>
        <v>220.54968556492099</v>
      </c>
      <c r="R366" s="1">
        <f t="shared" si="332"/>
        <v>220.54968556492099</v>
      </c>
      <c r="S366" s="1">
        <f t="shared" si="332"/>
        <v>220.54968556492099</v>
      </c>
      <c r="T366" s="1">
        <f t="shared" si="332"/>
        <v>220.54968556492099</v>
      </c>
      <c r="U366" s="1">
        <f t="shared" si="332"/>
        <v>220.54968556492099</v>
      </c>
      <c r="X366" s="1">
        <f>X335/X360</f>
        <v>241.06382978723403</v>
      </c>
      <c r="Z366" s="1">
        <f>Z335/Z360</f>
        <v>247.60869565217394</v>
      </c>
      <c r="AB366" s="1">
        <f>AB335/AB360</f>
        <v>237.8557069370145</v>
      </c>
      <c r="AD366" s="1">
        <f>AD335/AD360</f>
        <v>159.39506476436102</v>
      </c>
    </row>
    <row r="367" spans="2:31">
      <c r="C367" s="43" t="s">
        <v>192</v>
      </c>
      <c r="F367" s="1">
        <f t="shared" si="327"/>
        <v>147.95454545454544</v>
      </c>
      <c r="G367" s="1">
        <f t="shared" si="327"/>
        <v>148.54166666666669</v>
      </c>
      <c r="H367" s="1">
        <f t="shared" si="327"/>
        <v>197.49999999999997</v>
      </c>
      <c r="I367" s="1">
        <f t="shared" si="327"/>
        <v>180.25709393881331</v>
      </c>
      <c r="J367" s="1">
        <f t="shared" si="327"/>
        <v>188.37432837561511</v>
      </c>
      <c r="K367" s="1">
        <f t="shared" si="327"/>
        <v>161.57283662403935</v>
      </c>
      <c r="L367" s="1">
        <f t="shared" si="332"/>
        <v>168.40378647200609</v>
      </c>
      <c r="M367" s="1">
        <f t="shared" si="332"/>
        <v>193.664354442807</v>
      </c>
      <c r="N367" s="1">
        <f t="shared" si="332"/>
        <v>193.664354442807</v>
      </c>
      <c r="O367" s="1">
        <f t="shared" si="332"/>
        <v>193.664354442807</v>
      </c>
      <c r="P367" s="1">
        <f t="shared" si="332"/>
        <v>193.664354442807</v>
      </c>
      <c r="Q367" s="1">
        <f t="shared" si="332"/>
        <v>193.664354442807</v>
      </c>
      <c r="R367" s="1">
        <f t="shared" si="332"/>
        <v>193.664354442807</v>
      </c>
      <c r="S367" s="1">
        <f t="shared" si="332"/>
        <v>193.664354442807</v>
      </c>
      <c r="T367" s="1">
        <f t="shared" si="332"/>
        <v>193.664354442807</v>
      </c>
      <c r="U367" s="1">
        <f t="shared" si="332"/>
        <v>193.664354442807</v>
      </c>
      <c r="X367" s="1">
        <f>X336/X361</f>
        <v>164.09090909090907</v>
      </c>
      <c r="Z367" s="1">
        <f>Z336/Z361</f>
        <v>180</v>
      </c>
      <c r="AB367" s="1">
        <f>AB336/AB361</f>
        <v>185.61257624023591</v>
      </c>
      <c r="AD367" s="1">
        <f>AD336/AD361</f>
        <v>166.14031390958286</v>
      </c>
    </row>
    <row r="369" spans="2:31" s="8" customFormat="1">
      <c r="C369" s="46" t="s">
        <v>30</v>
      </c>
      <c r="G369" s="8">
        <f>G363/F363-1</f>
        <v>-8.3513560600150472E-2</v>
      </c>
      <c r="H369" s="8">
        <f>H363/G363-1</f>
        <v>-8.4249714167140333E-2</v>
      </c>
      <c r="I369" s="8">
        <f>I363/H363-1</f>
        <v>-0.12118551023336455</v>
      </c>
      <c r="J369" s="8">
        <f>J363/I363-1</f>
        <v>-9.131373376485008E-2</v>
      </c>
      <c r="K369" s="8">
        <f>K363/J363-1</f>
        <v>-0.13693056682603422</v>
      </c>
      <c r="Z369" s="8">
        <f>Z363/X363-1</f>
        <v>-6.6029089326324564E-2</v>
      </c>
      <c r="AB369" s="8">
        <f>AB363/Z363-1</f>
        <v>-0.12403501883083046</v>
      </c>
      <c r="AD369" s="8">
        <f>AD363/AB363-1</f>
        <v>-0.32947163507498134</v>
      </c>
    </row>
    <row r="370" spans="2:31" s="8" customFormat="1">
      <c r="C370" s="23" t="s">
        <v>187</v>
      </c>
      <c r="G370" s="8">
        <f t="shared" ref="G370:K373" si="333">G364/F364-1</f>
        <v>-5.4483167534092991E-2</v>
      </c>
      <c r="H370" s="8">
        <f t="shared" si="333"/>
        <v>-5.9131567028985477E-2</v>
      </c>
      <c r="I370" s="8">
        <f t="shared" si="333"/>
        <v>-0.19889876818203722</v>
      </c>
      <c r="J370" s="8">
        <f t="shared" si="333"/>
        <v>-9.6302174195197487E-2</v>
      </c>
      <c r="K370" s="8">
        <f t="shared" si="333"/>
        <v>-0.19068907853469597</v>
      </c>
      <c r="L370" s="9">
        <f>-K370-6%</f>
        <v>0.13068907853469597</v>
      </c>
      <c r="M370" s="9">
        <v>-0.05</v>
      </c>
      <c r="N370" s="9">
        <v>-0.08</v>
      </c>
      <c r="O370" s="9">
        <v>-7.0000000000000007E-2</v>
      </c>
      <c r="P370" s="9">
        <v>-0.06</v>
      </c>
      <c r="Q370" s="9">
        <v>-0.05</v>
      </c>
      <c r="R370" s="9">
        <v>-0.05</v>
      </c>
      <c r="S370" s="9">
        <v>-0.05</v>
      </c>
      <c r="T370" s="9">
        <v>-0.05</v>
      </c>
      <c r="U370" s="9">
        <v>-0.05</v>
      </c>
      <c r="Z370" s="8">
        <f t="shared" ref="Z370:Z373" si="334">Z364/X364-1</f>
        <v>-7.4116780817160111E-2</v>
      </c>
      <c r="AB370" s="8">
        <f t="shared" ref="AB370:AB373" si="335">AB364/Z364-1</f>
        <v>-0.17787685432274714</v>
      </c>
      <c r="AD370" s="8">
        <f t="shared" ref="AD370:AD373" si="336">AD364/AB364-1</f>
        <v>-0.34514391613856921</v>
      </c>
    </row>
    <row r="371" spans="2:31" s="8" customFormat="1">
      <c r="C371" s="23" t="s">
        <v>188</v>
      </c>
      <c r="G371" s="8">
        <f t="shared" si="333"/>
        <v>-9.4734307727169731E-2</v>
      </c>
      <c r="H371" s="8">
        <f t="shared" si="333"/>
        <v>-5.916021118073711E-2</v>
      </c>
      <c r="I371" s="8">
        <f t="shared" si="333"/>
        <v>-0.13398244526986236</v>
      </c>
      <c r="J371" s="8">
        <f t="shared" si="333"/>
        <v>-0.10117139121130403</v>
      </c>
      <c r="K371" s="8">
        <f t="shared" si="333"/>
        <v>-0.154578377923136</v>
      </c>
      <c r="L371" s="9">
        <f>-K371-6%</f>
        <v>9.4578377923136003E-2</v>
      </c>
      <c r="M371" s="9">
        <v>-0.08</v>
      </c>
      <c r="N371" s="9">
        <v>-0.08</v>
      </c>
      <c r="O371" s="9">
        <v>-0.08</v>
      </c>
      <c r="P371" s="9">
        <v>-7.0000000000000007E-2</v>
      </c>
      <c r="Q371" s="9">
        <v>-7.0000000000000007E-2</v>
      </c>
      <c r="R371" s="9">
        <v>-0.06</v>
      </c>
      <c r="S371" s="9">
        <v>-0.06</v>
      </c>
      <c r="T371" s="9">
        <v>-0.05</v>
      </c>
      <c r="U371" s="9">
        <v>-0.05</v>
      </c>
      <c r="Z371" s="8">
        <f t="shared" si="334"/>
        <v>-7.7882066346636081E-2</v>
      </c>
      <c r="AB371" s="8">
        <f t="shared" si="335"/>
        <v>-0.16479204038332607</v>
      </c>
      <c r="AD371" s="8">
        <f t="shared" si="336"/>
        <v>-0.36621447728568479</v>
      </c>
    </row>
    <row r="372" spans="2:31" s="8" customFormat="1">
      <c r="C372" s="23" t="s">
        <v>191</v>
      </c>
      <c r="G372" s="8">
        <f t="shared" si="333"/>
        <v>-0.13104965430546811</v>
      </c>
      <c r="H372" s="8">
        <f t="shared" si="333"/>
        <v>-9.3849054258426934E-3</v>
      </c>
      <c r="I372" s="8">
        <f t="shared" si="333"/>
        <v>9.8617663655691246E-3</v>
      </c>
      <c r="J372" s="8">
        <f t="shared" si="333"/>
        <v>-1.8749754168856936E-2</v>
      </c>
      <c r="K372" s="8">
        <f t="shared" si="333"/>
        <v>-0.10854772493027054</v>
      </c>
      <c r="L372" s="9">
        <f>-K372-1%</f>
        <v>9.8547724930270544E-2</v>
      </c>
      <c r="M372" s="9">
        <v>-0.01</v>
      </c>
      <c r="N372" s="9">
        <v>-0.01</v>
      </c>
      <c r="O372" s="9">
        <v>-0.01</v>
      </c>
      <c r="P372" s="9">
        <v>-0.01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Z372" s="8">
        <f t="shared" si="334"/>
        <v>2.7149929007252993E-2</v>
      </c>
      <c r="AB372" s="8">
        <f t="shared" si="335"/>
        <v>-3.9388716496693066E-2</v>
      </c>
      <c r="AD372" s="8">
        <f t="shared" si="336"/>
        <v>-0.32986655305870083</v>
      </c>
    </row>
    <row r="373" spans="2:31" s="8" customFormat="1">
      <c r="C373" s="23" t="s">
        <v>192</v>
      </c>
      <c r="G373" s="8">
        <f t="shared" si="333"/>
        <v>3.9682539682541762E-3</v>
      </c>
      <c r="H373" s="8">
        <f t="shared" si="333"/>
        <v>0.32959326788218757</v>
      </c>
      <c r="I373" s="8">
        <f t="shared" si="333"/>
        <v>-8.7305853474362816E-2</v>
      </c>
      <c r="J373" s="8">
        <f t="shared" si="333"/>
        <v>4.5031428497106063E-2</v>
      </c>
      <c r="K373" s="8">
        <f t="shared" si="333"/>
        <v>-0.14227783574699226</v>
      </c>
      <c r="L373" s="9">
        <f>-K373-10%</f>
        <v>4.2277835746992259E-2</v>
      </c>
      <c r="M373" s="9">
        <v>0.15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Z373" s="8">
        <f t="shared" si="334"/>
        <v>9.6952908587257802E-2</v>
      </c>
      <c r="AB373" s="8">
        <f t="shared" si="335"/>
        <v>3.1180979112421792E-2</v>
      </c>
      <c r="AD373" s="8">
        <f t="shared" si="336"/>
        <v>-0.10490809795910794</v>
      </c>
    </row>
    <row r="374" spans="2:31" s="8" customFormat="1"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</row>
    <row r="375" spans="2:31" s="6" customFormat="1">
      <c r="B375" s="6" t="s">
        <v>206</v>
      </c>
      <c r="F375" s="6">
        <f t="shared" ref="F375:I375" si="337">F377+F378+F379+F380</f>
        <v>5783.6110000000008</v>
      </c>
      <c r="G375" s="6">
        <f t="shared" si="337"/>
        <v>7662.8540000000012</v>
      </c>
      <c r="H375" s="6">
        <f t="shared" si="337"/>
        <v>10411.958999999999</v>
      </c>
      <c r="I375" s="6">
        <f t="shared" si="337"/>
        <v>16531.701000000001</v>
      </c>
      <c r="J375" s="6">
        <f>J377+J378+J379+J380</f>
        <v>25677.384000000002</v>
      </c>
      <c r="K375" s="6">
        <f>K377+K378+K379+K380</f>
        <v>27571.387999999999</v>
      </c>
      <c r="L375" s="6">
        <f t="shared" ref="L375:U375" si="338">L377+L378+L379+L380</f>
        <v>62320.107284050013</v>
      </c>
      <c r="M375" s="6">
        <f t="shared" si="338"/>
        <v>82212.727063681537</v>
      </c>
      <c r="N375" s="6">
        <f t="shared" si="338"/>
        <v>96503.070305818459</v>
      </c>
      <c r="O375" s="6">
        <f t="shared" si="338"/>
        <v>109232.9707287569</v>
      </c>
      <c r="P375" s="6">
        <f t="shared" si="338"/>
        <v>122148.4546357262</v>
      </c>
      <c r="Q375" s="6">
        <f t="shared" si="338"/>
        <v>136524.28679092196</v>
      </c>
      <c r="R375" s="6">
        <f t="shared" si="338"/>
        <v>149689.39019764261</v>
      </c>
      <c r="S375" s="6">
        <f t="shared" si="338"/>
        <v>161598.63514702741</v>
      </c>
      <c r="T375" s="6">
        <f t="shared" si="338"/>
        <v>173640.3165922297</v>
      </c>
      <c r="U375" s="6">
        <f t="shared" si="338"/>
        <v>186724.31367537021</v>
      </c>
      <c r="X375" s="6">
        <f t="shared" ref="X375:AC375" si="339">X377+X378+X379+X380</f>
        <v>4675.7299999999996</v>
      </c>
      <c r="Y375" s="6">
        <f t="shared" si="339"/>
        <v>5736.2289999999994</v>
      </c>
      <c r="Z375" s="6">
        <f t="shared" si="339"/>
        <v>7301.6680000000006</v>
      </c>
      <c r="AA375" s="6">
        <f t="shared" si="339"/>
        <v>9230.0329999999994</v>
      </c>
      <c r="AB375" s="6">
        <f t="shared" si="339"/>
        <v>11381.314</v>
      </c>
      <c r="AC375" s="6">
        <f t="shared" si="339"/>
        <v>14296.07</v>
      </c>
      <c r="AD375" s="6">
        <f>AD377+AD378+AD379+AD380</f>
        <v>9166.1159999999982</v>
      </c>
      <c r="AE375" s="6">
        <f>AE377+AE378+AE379+AE380</f>
        <v>18405.272000000001</v>
      </c>
    </row>
    <row r="376" spans="2:31" s="8" customFormat="1">
      <c r="C376" s="8" t="s">
        <v>30</v>
      </c>
      <c r="G376" s="8">
        <f t="shared" ref="G376:I376" si="340">G375/F375-1</f>
        <v>0.32492555256568956</v>
      </c>
      <c r="H376" s="8">
        <f t="shared" si="340"/>
        <v>0.35875732462082621</v>
      </c>
      <c r="I376" s="8">
        <f t="shared" si="340"/>
        <v>0.58776086229306146</v>
      </c>
      <c r="J376" s="8">
        <f>J375/I375-1</f>
        <v>0.55322092989705052</v>
      </c>
      <c r="K376" s="8">
        <f t="shared" ref="K376:R376" si="341">K375/J375-1</f>
        <v>7.3761563872705826E-2</v>
      </c>
      <c r="L376" s="8">
        <f t="shared" si="341"/>
        <v>1.2603180980243001</v>
      </c>
      <c r="M376" s="8">
        <f t="shared" si="341"/>
        <v>0.31920066647129741</v>
      </c>
      <c r="N376" s="8">
        <f t="shared" si="341"/>
        <v>0.1738215450640348</v>
      </c>
      <c r="O376" s="8">
        <f t="shared" si="341"/>
        <v>0.13191186956640188</v>
      </c>
      <c r="P376" s="8">
        <f t="shared" si="341"/>
        <v>0.11823796259318553</v>
      </c>
      <c r="Q376" s="8">
        <f t="shared" si="341"/>
        <v>0.11769147794843327</v>
      </c>
      <c r="R376" s="8">
        <f t="shared" si="341"/>
        <v>9.6430486590874054E-2</v>
      </c>
      <c r="S376" s="8">
        <f>S375/R375-1</f>
        <v>7.955971317446342E-2</v>
      </c>
      <c r="T376" s="8">
        <f t="shared" ref="T376:U376" si="342">T375/S375-1</f>
        <v>7.4515984830233251E-2</v>
      </c>
      <c r="U376" s="8">
        <f t="shared" si="342"/>
        <v>7.535114735978321E-2</v>
      </c>
      <c r="Z376" s="8">
        <f>Z375/X375-1</f>
        <v>0.56161027262053231</v>
      </c>
      <c r="AA376" s="8">
        <f t="shared" ref="AA376:AE376" si="343">AA375/Y375-1</f>
        <v>0.60907679940950765</v>
      </c>
      <c r="AB376" s="8">
        <f t="shared" si="343"/>
        <v>0.55872795092847261</v>
      </c>
      <c r="AC376" s="8">
        <f t="shared" si="343"/>
        <v>0.54886445151387875</v>
      </c>
      <c r="AD376" s="8">
        <f t="shared" si="343"/>
        <v>-0.19463464411929954</v>
      </c>
      <c r="AE376" s="8">
        <f t="shared" si="343"/>
        <v>0.28743577780466945</v>
      </c>
    </row>
    <row r="377" spans="2:31">
      <c r="C377" s="1" t="s">
        <v>187</v>
      </c>
      <c r="F377" s="2">
        <v>2316.797</v>
      </c>
      <c r="G377" s="2">
        <v>2713.7530000000002</v>
      </c>
      <c r="H377" s="2">
        <v>2959.223</v>
      </c>
      <c r="I377" s="2">
        <v>4035.65</v>
      </c>
      <c r="J377" s="2">
        <v>6481.625</v>
      </c>
      <c r="K377" s="2">
        <v>5930.5870000000004</v>
      </c>
      <c r="L377" s="1">
        <f t="shared" ref="L377:U380" si="344">L299*L311</f>
        <v>11754.106233067976</v>
      </c>
      <c r="M377" s="1">
        <f t="shared" si="344"/>
        <v>14010.953515331215</v>
      </c>
      <c r="N377" s="1">
        <f t="shared" si="344"/>
        <v>14845.187341900377</v>
      </c>
      <c r="O377" s="1">
        <f t="shared" si="344"/>
        <v>15463.90779980739</v>
      </c>
      <c r="P377" s="1">
        <f t="shared" si="344"/>
        <v>15997.166753752561</v>
      </c>
      <c r="Q377" s="1">
        <f t="shared" si="344"/>
        <v>16656.507995899043</v>
      </c>
      <c r="R377" s="1">
        <f t="shared" si="344"/>
        <v>17157.539530175931</v>
      </c>
      <c r="S377" s="1">
        <f t="shared" si="344"/>
        <v>17553.608707073305</v>
      </c>
      <c r="T377" s="1">
        <f t="shared" si="344"/>
        <v>17842.9312352864</v>
      </c>
      <c r="U377" s="1">
        <f t="shared" si="344"/>
        <v>18169.598832725282</v>
      </c>
      <c r="X377" s="2">
        <v>1427.0809999999999</v>
      </c>
      <c r="Y377" s="1">
        <f t="shared" ref="Y377:Y380" si="345">H377-X377</f>
        <v>1532.1420000000001</v>
      </c>
      <c r="Z377" s="2">
        <v>1800.232</v>
      </c>
      <c r="AA377" s="1">
        <f t="shared" ref="AA377:AA380" si="346">I377-Z377</f>
        <v>2235.4180000000001</v>
      </c>
      <c r="AB377" s="2">
        <v>2864.8380000000002</v>
      </c>
      <c r="AC377" s="1">
        <f t="shared" ref="AC377:AC380" si="347">J377-AB377</f>
        <v>3616.7869999999998</v>
      </c>
      <c r="AD377" s="2">
        <v>2019.3030000000001</v>
      </c>
      <c r="AE377" s="1">
        <f>K377-AD377</f>
        <v>3911.2840000000006</v>
      </c>
    </row>
    <row r="378" spans="2:31">
      <c r="C378" s="1" t="s">
        <v>188</v>
      </c>
      <c r="F378" s="2">
        <v>2879.5630000000001</v>
      </c>
      <c r="G378" s="2">
        <v>3776.36</v>
      </c>
      <c r="H378" s="2">
        <v>5230.9809999999998</v>
      </c>
      <c r="I378" s="2">
        <v>7794.8450000000003</v>
      </c>
      <c r="J378" s="2">
        <v>11142.724</v>
      </c>
      <c r="K378" s="2">
        <v>11271.932000000001</v>
      </c>
      <c r="L378" s="1">
        <f t="shared" si="344"/>
        <v>23618.682466383816</v>
      </c>
      <c r="M378" s="1">
        <f t="shared" si="344"/>
        <v>29356.821014465382</v>
      </c>
      <c r="N378" s="1">
        <f t="shared" si="344"/>
        <v>32941.715341652409</v>
      </c>
      <c r="O378" s="1">
        <f t="shared" si="344"/>
        <v>35595.99407023035</v>
      </c>
      <c r="P378" s="1">
        <f t="shared" si="344"/>
        <v>38183.935279021789</v>
      </c>
      <c r="Q378" s="1">
        <f t="shared" si="344"/>
        <v>40654.79335040212</v>
      </c>
      <c r="R378" s="1">
        <f t="shared" si="344"/>
        <v>42777.367168357385</v>
      </c>
      <c r="S378" s="1">
        <f t="shared" si="344"/>
        <v>44312.463718123414</v>
      </c>
      <c r="T378" s="1">
        <f t="shared" si="344"/>
        <v>46004.865137795357</v>
      </c>
      <c r="U378" s="1">
        <f t="shared" si="344"/>
        <v>47768.451932946708</v>
      </c>
      <c r="X378" s="2">
        <v>2339.596</v>
      </c>
      <c r="Y378" s="1">
        <f t="shared" si="345"/>
        <v>2891.3849999999998</v>
      </c>
      <c r="Z378" s="2">
        <v>3567.6889999999999</v>
      </c>
      <c r="AA378" s="1">
        <f t="shared" si="346"/>
        <v>4227.1560000000009</v>
      </c>
      <c r="AB378" s="2">
        <v>5024.3810000000003</v>
      </c>
      <c r="AC378" s="1">
        <f t="shared" si="347"/>
        <v>6118.3429999999998</v>
      </c>
      <c r="AD378" s="2">
        <v>3801.3879999999999</v>
      </c>
      <c r="AE378" s="1">
        <f t="shared" ref="AE378:AE382" si="348">K378-AD378</f>
        <v>7470.5440000000008</v>
      </c>
    </row>
    <row r="379" spans="2:31">
      <c r="C379" s="1" t="s">
        <v>191</v>
      </c>
      <c r="F379" s="2">
        <v>310.178</v>
      </c>
      <c r="G379" s="2">
        <v>733.596</v>
      </c>
      <c r="H379" s="2">
        <v>1518.374</v>
      </c>
      <c r="I379" s="2">
        <v>3378.6610000000001</v>
      </c>
      <c r="J379" s="2">
        <v>5779.0309999999999</v>
      </c>
      <c r="K379" s="2">
        <v>8142.7079999999996</v>
      </c>
      <c r="L379" s="1">
        <f t="shared" si="344"/>
        <v>22573.829391347219</v>
      </c>
      <c r="M379" s="1">
        <f t="shared" si="344"/>
        <v>31692.35170756072</v>
      </c>
      <c r="N379" s="1">
        <f t="shared" si="344"/>
        <v>40384.763159756862</v>
      </c>
      <c r="O379" s="1">
        <f t="shared" si="344"/>
        <v>48700.504947703477</v>
      </c>
      <c r="P379" s="1">
        <f t="shared" si="344"/>
        <v>57337.528389374173</v>
      </c>
      <c r="Q379" s="1">
        <f t="shared" si="344"/>
        <v>67328.771878760599</v>
      </c>
      <c r="R379" s="1">
        <f t="shared" si="344"/>
        <v>76693.299460547671</v>
      </c>
      <c r="S379" s="1">
        <f t="shared" si="344"/>
        <v>85545.347316038911</v>
      </c>
      <c r="T379" s="1">
        <f t="shared" si="344"/>
        <v>94496.690369965421</v>
      </c>
      <c r="U379" s="1">
        <f t="shared" si="344"/>
        <v>104280.07117495134</v>
      </c>
      <c r="X379" s="2">
        <v>636.38900000000001</v>
      </c>
      <c r="Y379" s="1">
        <f t="shared" si="345"/>
        <v>881.98500000000001</v>
      </c>
      <c r="Z379" s="2">
        <v>1401.431</v>
      </c>
      <c r="AA379" s="1">
        <f t="shared" si="346"/>
        <v>1977.23</v>
      </c>
      <c r="AB379" s="2">
        <v>2532.0500000000002</v>
      </c>
      <c r="AC379" s="1">
        <f t="shared" si="347"/>
        <v>3246.9809999999998</v>
      </c>
      <c r="AD379" s="2">
        <v>2450.5720000000001</v>
      </c>
      <c r="AE379" s="1">
        <f t="shared" si="348"/>
        <v>5692.1359999999995</v>
      </c>
    </row>
    <row r="380" spans="2:31">
      <c r="C380" s="1" t="s">
        <v>192</v>
      </c>
      <c r="F380" s="2">
        <v>277.07299999999998</v>
      </c>
      <c r="G380" s="2">
        <v>439.14499999999998</v>
      </c>
      <c r="H380" s="2">
        <v>703.38099999999997</v>
      </c>
      <c r="I380" s="2">
        <v>1322.5450000000001</v>
      </c>
      <c r="J380" s="2">
        <v>2274.0039999999999</v>
      </c>
      <c r="K380" s="2">
        <v>2226.1610000000001</v>
      </c>
      <c r="L380" s="1">
        <f t="shared" si="344"/>
        <v>4373.4891932510109</v>
      </c>
      <c r="M380" s="1">
        <f t="shared" si="344"/>
        <v>7152.6008263242265</v>
      </c>
      <c r="N380" s="1">
        <f t="shared" si="344"/>
        <v>8331.4044625088136</v>
      </c>
      <c r="O380" s="1">
        <f t="shared" si="344"/>
        <v>9472.5639110156808</v>
      </c>
      <c r="P380" s="1">
        <f t="shared" si="344"/>
        <v>10629.82421357768</v>
      </c>
      <c r="Q380" s="1">
        <f t="shared" si="344"/>
        <v>11884.213565860204</v>
      </c>
      <c r="R380" s="1">
        <f t="shared" si="344"/>
        <v>13061.184038561616</v>
      </c>
      <c r="S380" s="1">
        <f t="shared" si="344"/>
        <v>14187.215405791792</v>
      </c>
      <c r="T380" s="1">
        <f t="shared" si="344"/>
        <v>15295.829849182512</v>
      </c>
      <c r="U380" s="1">
        <f t="shared" si="344"/>
        <v>16506.191734746877</v>
      </c>
      <c r="X380" s="2">
        <v>272.66399999999999</v>
      </c>
      <c r="Y380" s="1">
        <f t="shared" si="345"/>
        <v>430.71699999999998</v>
      </c>
      <c r="Z380" s="2">
        <v>532.31600000000003</v>
      </c>
      <c r="AA380" s="1">
        <f t="shared" si="346"/>
        <v>790.22900000000004</v>
      </c>
      <c r="AB380" s="2">
        <v>960.04499999999996</v>
      </c>
      <c r="AC380" s="1">
        <f t="shared" si="347"/>
        <v>1313.9589999999998</v>
      </c>
      <c r="AD380" s="2">
        <v>894.85299999999995</v>
      </c>
      <c r="AE380" s="1">
        <f t="shared" si="348"/>
        <v>1331.308</v>
      </c>
    </row>
    <row r="382" spans="2:31">
      <c r="B382" s="1" t="s">
        <v>207</v>
      </c>
      <c r="F382" s="2">
        <v>-130.52199999999999</v>
      </c>
      <c r="G382" s="2">
        <v>-27.257999999999999</v>
      </c>
      <c r="H382" s="2">
        <v>-23.861999999999998</v>
      </c>
      <c r="I382" s="2">
        <v>-40.478000000000002</v>
      </c>
      <c r="J382" s="2">
        <v>-88.861000000000004</v>
      </c>
      <c r="K382" s="2">
        <v>-137.696</v>
      </c>
      <c r="L382" s="1">
        <f t="shared" ref="L382:U382" si="349">L383*L375</f>
        <v>-311.23676082555403</v>
      </c>
      <c r="M382" s="1">
        <f t="shared" si="349"/>
        <v>-410.5837423114387</v>
      </c>
      <c r="N382" s="1">
        <f t="shared" si="349"/>
        <v>-481.95204277818652</v>
      </c>
      <c r="O382" s="1">
        <f t="shared" si="349"/>
        <v>-545.52723778240363</v>
      </c>
      <c r="P382" s="1">
        <f t="shared" si="349"/>
        <v>-610.02926691688333</v>
      </c>
      <c r="Q382" s="1">
        <f t="shared" si="349"/>
        <v>-681.82451293213069</v>
      </c>
      <c r="R382" s="1">
        <f t="shared" si="349"/>
        <v>-747.57318248376168</v>
      </c>
      <c r="S382" s="1">
        <f t="shared" si="349"/>
        <v>-807.04989045909065</v>
      </c>
      <c r="T382" s="1">
        <f t="shared" si="349"/>
        <v>-867.18800785378164</v>
      </c>
      <c r="U382" s="1">
        <f t="shared" si="349"/>
        <v>-932.53161922220886</v>
      </c>
      <c r="X382" s="2">
        <v>-29.045999999999999</v>
      </c>
      <c r="Y382" s="1">
        <f t="shared" ref="Y382" si="350">H382-X382</f>
        <v>5.1840000000000011</v>
      </c>
      <c r="Z382" s="2">
        <v>-49.631</v>
      </c>
      <c r="AA382" s="1">
        <f t="shared" ref="AA382" si="351">I382-Z382</f>
        <v>9.1529999999999987</v>
      </c>
      <c r="AB382" s="2">
        <v>-49.902000000000001</v>
      </c>
      <c r="AC382" s="1">
        <f t="shared" ref="AC382" si="352">J382-AB382</f>
        <v>-38.959000000000003</v>
      </c>
      <c r="AD382" s="2">
        <v>-15.462999999999999</v>
      </c>
      <c r="AE382" s="1">
        <f t="shared" si="348"/>
        <v>-122.233</v>
      </c>
    </row>
    <row r="383" spans="2:31" s="8" customFormat="1">
      <c r="C383" s="8" t="s">
        <v>208</v>
      </c>
      <c r="F383" s="8">
        <f t="shared" ref="F383:I383" si="353">F382/F375</f>
        <v>-2.2567562030018959E-2</v>
      </c>
      <c r="G383" s="8">
        <f t="shared" si="353"/>
        <v>-3.557160295628756E-3</v>
      </c>
      <c r="H383" s="8">
        <f t="shared" si="353"/>
        <v>-2.2917877413846906E-3</v>
      </c>
      <c r="I383" s="8">
        <f t="shared" si="353"/>
        <v>-2.4485078698193246E-3</v>
      </c>
      <c r="J383" s="8">
        <f>J382/J375</f>
        <v>-3.4606718503722963E-3</v>
      </c>
      <c r="K383" s="8">
        <f>K382/K375</f>
        <v>-4.9941627893379907E-3</v>
      </c>
      <c r="L383" s="9">
        <f t="shared" ref="L383:U383" si="354">K383</f>
        <v>-4.9941627893379907E-3</v>
      </c>
      <c r="M383" s="9">
        <f t="shared" si="354"/>
        <v>-4.9941627893379907E-3</v>
      </c>
      <c r="N383" s="9">
        <f t="shared" si="354"/>
        <v>-4.9941627893379907E-3</v>
      </c>
      <c r="O383" s="9">
        <f t="shared" si="354"/>
        <v>-4.9941627893379907E-3</v>
      </c>
      <c r="P383" s="9">
        <f t="shared" si="354"/>
        <v>-4.9941627893379907E-3</v>
      </c>
      <c r="Q383" s="9">
        <f t="shared" si="354"/>
        <v>-4.9941627893379907E-3</v>
      </c>
      <c r="R383" s="9">
        <f t="shared" si="354"/>
        <v>-4.9941627893379907E-3</v>
      </c>
      <c r="S383" s="9">
        <f t="shared" si="354"/>
        <v>-4.9941627893379907E-3</v>
      </c>
      <c r="T383" s="9">
        <f t="shared" si="354"/>
        <v>-4.9941627893379907E-3</v>
      </c>
      <c r="U383" s="9">
        <f t="shared" si="354"/>
        <v>-4.9941627893379907E-3</v>
      </c>
      <c r="X383" s="8">
        <f>X382/X375</f>
        <v>-6.2120781140057278E-3</v>
      </c>
      <c r="Y383" s="8">
        <f t="shared" ref="Y383:AE383" si="355">Y382/Y375</f>
        <v>9.037296105158984E-4</v>
      </c>
      <c r="Z383" s="8">
        <f t="shared" si="355"/>
        <v>-6.7972140064434588E-3</v>
      </c>
      <c r="AA383" s="8">
        <f t="shared" si="355"/>
        <v>9.9165409267767501E-4</v>
      </c>
      <c r="AB383" s="8">
        <f t="shared" si="355"/>
        <v>-4.384555245554248E-3</v>
      </c>
      <c r="AC383" s="8">
        <f t="shared" si="355"/>
        <v>-2.7251545354772329E-3</v>
      </c>
      <c r="AD383" s="8">
        <f t="shared" si="355"/>
        <v>-1.6869740684058551E-3</v>
      </c>
      <c r="AE383" s="8">
        <f t="shared" si="355"/>
        <v>-6.6411949793515682E-3</v>
      </c>
    </row>
    <row r="385" spans="2:31" s="6" customFormat="1">
      <c r="B385" s="6" t="s">
        <v>209</v>
      </c>
      <c r="F385" s="6">
        <f t="shared" ref="F385:I385" si="356">F375+F382</f>
        <v>5653.0890000000009</v>
      </c>
      <c r="G385" s="6">
        <f t="shared" si="356"/>
        <v>7635.5960000000014</v>
      </c>
      <c r="H385" s="6">
        <f t="shared" si="356"/>
        <v>10388.097</v>
      </c>
      <c r="I385" s="6">
        <f t="shared" si="356"/>
        <v>16491.223000000002</v>
      </c>
      <c r="J385" s="6">
        <f>J375+J382</f>
        <v>25588.523000000001</v>
      </c>
      <c r="K385" s="6">
        <f>K375+K382</f>
        <v>27433.691999999999</v>
      </c>
      <c r="L385" s="6">
        <f t="shared" ref="L385:U385" si="357">L375+L382</f>
        <v>62008.870523224461</v>
      </c>
      <c r="M385" s="6">
        <f t="shared" si="357"/>
        <v>81802.143321370095</v>
      </c>
      <c r="N385" s="6">
        <f t="shared" si="357"/>
        <v>96021.118263040276</v>
      </c>
      <c r="O385" s="6">
        <f t="shared" si="357"/>
        <v>108687.4434909745</v>
      </c>
      <c r="P385" s="6">
        <f t="shared" si="357"/>
        <v>121538.42536880932</v>
      </c>
      <c r="Q385" s="6">
        <f t="shared" si="357"/>
        <v>135842.46227798983</v>
      </c>
      <c r="R385" s="6">
        <f t="shared" si="357"/>
        <v>148941.81701515886</v>
      </c>
      <c r="S385" s="6">
        <f t="shared" si="357"/>
        <v>160791.58525656833</v>
      </c>
      <c r="T385" s="6">
        <f t="shared" si="357"/>
        <v>172773.12858437593</v>
      </c>
      <c r="U385" s="6">
        <f t="shared" si="357"/>
        <v>185791.78205614802</v>
      </c>
      <c r="X385" s="6">
        <f t="shared" ref="X385:AA385" si="358">X375+X382</f>
        <v>4646.6839999999993</v>
      </c>
      <c r="Y385" s="6">
        <f t="shared" si="358"/>
        <v>5741.4129999999996</v>
      </c>
      <c r="Z385" s="6">
        <f t="shared" si="358"/>
        <v>7252.0370000000003</v>
      </c>
      <c r="AA385" s="6">
        <f t="shared" si="358"/>
        <v>9239.1859999999997</v>
      </c>
      <c r="AB385" s="6">
        <f>AB375+AB382</f>
        <v>11331.412</v>
      </c>
      <c r="AC385" s="6">
        <f t="shared" ref="AC385:AE385" si="359">AC375+AC382</f>
        <v>14257.110999999999</v>
      </c>
      <c r="AD385" s="6">
        <f t="shared" si="359"/>
        <v>9150.6529999999984</v>
      </c>
      <c r="AE385" s="6">
        <f t="shared" si="359"/>
        <v>18283.039000000001</v>
      </c>
    </row>
    <row r="386" spans="2:31" s="8" customFormat="1">
      <c r="C386" s="8" t="s">
        <v>30</v>
      </c>
      <c r="G386" s="8">
        <f t="shared" ref="G386:I386" si="360">G385/F385-1</f>
        <v>0.35069446102829804</v>
      </c>
      <c r="H386" s="8">
        <f t="shared" si="360"/>
        <v>0.36048279662779414</v>
      </c>
      <c r="I386" s="8">
        <f t="shared" si="360"/>
        <v>0.58751145662193971</v>
      </c>
      <c r="J386" s="8">
        <f>J385/I385-1</f>
        <v>0.55164495683552395</v>
      </c>
      <c r="K386" s="8">
        <f t="shared" ref="K386:R386" si="361">K385/J385-1</f>
        <v>7.2109242100452553E-2</v>
      </c>
      <c r="L386" s="8">
        <f t="shared" si="361"/>
        <v>1.2603180980243005</v>
      </c>
      <c r="M386" s="8">
        <f t="shared" si="361"/>
        <v>0.31920066647129741</v>
      </c>
      <c r="N386" s="8">
        <f t="shared" si="361"/>
        <v>0.17382154506403502</v>
      </c>
      <c r="O386" s="8">
        <f t="shared" si="361"/>
        <v>0.13191186956640188</v>
      </c>
      <c r="P386" s="8">
        <f t="shared" si="361"/>
        <v>0.11823796259318553</v>
      </c>
      <c r="Q386" s="8">
        <f t="shared" si="361"/>
        <v>0.11769147794843327</v>
      </c>
      <c r="R386" s="8">
        <f t="shared" si="361"/>
        <v>9.6430486590874054E-2</v>
      </c>
      <c r="S386" s="8">
        <f>S385/R385-1</f>
        <v>7.9559713174463642E-2</v>
      </c>
      <c r="T386" s="8">
        <f t="shared" ref="T386:U386" si="362">T385/S385-1</f>
        <v>7.4515984830233251E-2</v>
      </c>
      <c r="U386" s="8">
        <f t="shared" si="362"/>
        <v>7.535114735978321E-2</v>
      </c>
      <c r="Z386" s="8">
        <f>Z385/X385-1</f>
        <v>0.5606908066053129</v>
      </c>
      <c r="AA386" s="8">
        <f t="shared" ref="AA386:AE386" si="363">AA385/Y385-1</f>
        <v>0.60921814891212334</v>
      </c>
      <c r="AB386" s="8">
        <f t="shared" si="363"/>
        <v>0.56251436665312093</v>
      </c>
      <c r="AC386" s="8">
        <f t="shared" si="363"/>
        <v>0.54311332188788053</v>
      </c>
      <c r="AD386" s="8">
        <f t="shared" si="363"/>
        <v>-0.19245253813028784</v>
      </c>
      <c r="AE386" s="8">
        <f t="shared" si="363"/>
        <v>0.28238035040899945</v>
      </c>
    </row>
    <row r="387" spans="2:31" s="26" customFormat="1">
      <c r="C387" s="26" t="s">
        <v>149</v>
      </c>
      <c r="F387" s="26">
        <f t="shared" ref="F387:K387" si="364">F385-F8</f>
        <v>0</v>
      </c>
      <c r="G387" s="26">
        <f t="shared" si="364"/>
        <v>0</v>
      </c>
      <c r="H387" s="26">
        <f t="shared" si="364"/>
        <v>0</v>
      </c>
      <c r="I387" s="26">
        <f t="shared" si="364"/>
        <v>0</v>
      </c>
      <c r="J387" s="26">
        <f t="shared" si="364"/>
        <v>0</v>
      </c>
      <c r="K387" s="26">
        <f t="shared" si="364"/>
        <v>0</v>
      </c>
      <c r="X387" s="26">
        <f t="shared" ref="X387:AE387" si="365">X385-X8</f>
        <v>0</v>
      </c>
      <c r="Y387" s="26">
        <f t="shared" si="365"/>
        <v>0</v>
      </c>
      <c r="Z387" s="47">
        <f t="shared" si="365"/>
        <v>100</v>
      </c>
      <c r="AA387" s="47">
        <f t="shared" si="365"/>
        <v>-100.00000000000182</v>
      </c>
      <c r="AB387" s="26">
        <f t="shared" si="365"/>
        <v>0</v>
      </c>
      <c r="AC387" s="26">
        <f t="shared" si="365"/>
        <v>0</v>
      </c>
      <c r="AD387" s="26">
        <f t="shared" si="365"/>
        <v>0</v>
      </c>
      <c r="AE387" s="26">
        <f t="shared" si="365"/>
        <v>0</v>
      </c>
    </row>
    <row r="390" spans="2:31" s="6" customFormat="1">
      <c r="B390" s="6" t="s">
        <v>210</v>
      </c>
      <c r="F390" s="6">
        <f>F391+F392+F393+F394</f>
        <v>1190.105</v>
      </c>
      <c r="G390" s="6">
        <f t="shared" ref="G390:H390" si="366">G391+G392+G393+G394</f>
        <v>1982.2250000000001</v>
      </c>
      <c r="H390" s="6">
        <f t="shared" si="366"/>
        <v>2338.2739999999999</v>
      </c>
      <c r="I390" s="6">
        <f>I375*I396-I382</f>
        <v>3545.1986120000001</v>
      </c>
      <c r="J390" s="6">
        <f>J375*J396-J382</f>
        <v>5532.4664080000002</v>
      </c>
      <c r="X390" s="6">
        <f>X391+X392+X393+X394</f>
        <v>1081.463</v>
      </c>
      <c r="Y390" s="6">
        <f t="shared" ref="Y390:Z390" si="367">Y391+Y392+Y393+Y394</f>
        <v>1256.8109999999999</v>
      </c>
      <c r="Z390" s="6">
        <f t="shared" si="367"/>
        <v>1472.81</v>
      </c>
    </row>
    <row r="391" spans="2:31">
      <c r="C391" s="1" t="s">
        <v>187</v>
      </c>
      <c r="F391" s="2">
        <v>524.94299999999998</v>
      </c>
      <c r="G391" s="2">
        <v>758.22299999999996</v>
      </c>
      <c r="H391" s="2">
        <v>653.58500000000004</v>
      </c>
      <c r="I391" s="2"/>
      <c r="J391" s="2"/>
      <c r="X391" s="2">
        <v>342.80399999999997</v>
      </c>
      <c r="Y391" s="1">
        <f t="shared" ref="Y391:Y394" si="368">H391-X391</f>
        <v>310.78100000000006</v>
      </c>
      <c r="Z391" s="2">
        <v>367.30500000000001</v>
      </c>
    </row>
    <row r="392" spans="2:31">
      <c r="C392" s="1" t="s">
        <v>188</v>
      </c>
      <c r="F392" s="2">
        <v>568.99900000000002</v>
      </c>
      <c r="G392" s="2">
        <v>969.43100000000004</v>
      </c>
      <c r="H392" s="2">
        <v>1248.1289999999999</v>
      </c>
      <c r="I392" s="2"/>
      <c r="J392" s="2"/>
      <c r="X392" s="2">
        <v>562.05399999999997</v>
      </c>
      <c r="Y392" s="1">
        <f t="shared" si="368"/>
        <v>686.07499999999993</v>
      </c>
      <c r="Z392" s="2">
        <v>774.75300000000004</v>
      </c>
    </row>
    <row r="393" spans="2:31">
      <c r="C393" s="1" t="s">
        <v>191</v>
      </c>
      <c r="F393" s="2">
        <v>44.22</v>
      </c>
      <c r="G393" s="2">
        <v>154.517</v>
      </c>
      <c r="H393" s="2">
        <v>308.52699999999999</v>
      </c>
      <c r="I393" s="2"/>
      <c r="J393" s="2"/>
      <c r="X393" s="2">
        <v>130.256</v>
      </c>
      <c r="Y393" s="1">
        <f t="shared" si="368"/>
        <v>178.27099999999999</v>
      </c>
      <c r="Z393" s="2">
        <v>276.32</v>
      </c>
    </row>
    <row r="394" spans="2:31">
      <c r="C394" s="1" t="s">
        <v>192</v>
      </c>
      <c r="F394" s="2">
        <v>51.942999999999998</v>
      </c>
      <c r="G394" s="2">
        <v>100.054</v>
      </c>
      <c r="H394" s="2">
        <v>128.03299999999999</v>
      </c>
      <c r="I394" s="2"/>
      <c r="J394" s="2"/>
      <c r="X394" s="2">
        <v>46.348999999999997</v>
      </c>
      <c r="Y394" s="1">
        <f t="shared" si="368"/>
        <v>81.683999999999997</v>
      </c>
      <c r="Z394" s="2">
        <v>54.432000000000002</v>
      </c>
    </row>
    <row r="396" spans="2:31" s="48" customFormat="1" ht="19">
      <c r="C396" s="49" t="s">
        <v>211</v>
      </c>
      <c r="F396" s="50">
        <f>(F390+F382)/F375</f>
        <v>0.18320440292405557</v>
      </c>
      <c r="G396" s="50">
        <f t="shared" ref="G396:H396" si="369">(G390+G382)/G375</f>
        <v>0.25512256921507309</v>
      </c>
      <c r="H396" s="50">
        <f t="shared" si="369"/>
        <v>0.22228401014640953</v>
      </c>
      <c r="I396" s="51">
        <v>0.21199999999999999</v>
      </c>
      <c r="J396" s="51">
        <v>0.21199999999999999</v>
      </c>
      <c r="X396" s="50">
        <f>X390/X375</f>
        <v>0.23129286763778065</v>
      </c>
      <c r="Y396" s="50">
        <f>Y390/Y375</f>
        <v>0.21910056240781184</v>
      </c>
      <c r="Z396" s="50">
        <f>Z390/Z375</f>
        <v>0.20170870546291611</v>
      </c>
    </row>
    <row r="397" spans="2:31" s="10" customFormat="1">
      <c r="C397" s="10" t="s">
        <v>187</v>
      </c>
      <c r="F397" s="12">
        <f t="shared" ref="F397:H400" si="370">F391/F377</f>
        <v>0.22658135348068906</v>
      </c>
      <c r="G397" s="12">
        <f t="shared" si="370"/>
        <v>0.27940015174557148</v>
      </c>
      <c r="H397" s="12">
        <f t="shared" si="370"/>
        <v>0.22086371996973531</v>
      </c>
      <c r="I397" s="12"/>
      <c r="J397" s="12"/>
      <c r="X397" s="12">
        <f t="shared" ref="X397:Z400" si="371">X391/X377</f>
        <v>0.2402134146555101</v>
      </c>
      <c r="Y397" s="12">
        <f t="shared" si="371"/>
        <v>0.2028408593981498</v>
      </c>
      <c r="Z397" s="12">
        <f t="shared" si="371"/>
        <v>0.20403203587093219</v>
      </c>
    </row>
    <row r="398" spans="2:31" s="10" customFormat="1">
      <c r="C398" s="10" t="s">
        <v>188</v>
      </c>
      <c r="F398" s="12">
        <f t="shared" si="370"/>
        <v>0.19759908013820152</v>
      </c>
      <c r="G398" s="12">
        <f t="shared" si="370"/>
        <v>0.25671043014966793</v>
      </c>
      <c r="H398" s="12">
        <f t="shared" si="370"/>
        <v>0.23860323713659062</v>
      </c>
      <c r="I398" s="12"/>
      <c r="J398" s="12"/>
      <c r="X398" s="12">
        <f t="shared" si="371"/>
        <v>0.24023549364933089</v>
      </c>
      <c r="Y398" s="12">
        <f t="shared" si="371"/>
        <v>0.23728247881205719</v>
      </c>
      <c r="Z398" s="12">
        <f t="shared" si="371"/>
        <v>0.21715822203112436</v>
      </c>
    </row>
    <row r="399" spans="2:31" s="10" customFormat="1">
      <c r="C399" s="10" t="s">
        <v>191</v>
      </c>
      <c r="F399" s="12">
        <f t="shared" si="370"/>
        <v>0.14256330236186962</v>
      </c>
      <c r="G399" s="12">
        <f t="shared" si="370"/>
        <v>0.21062955632255356</v>
      </c>
      <c r="H399" s="12">
        <f t="shared" si="370"/>
        <v>0.20319565535237036</v>
      </c>
      <c r="I399" s="12"/>
      <c r="J399" s="12"/>
      <c r="X399" s="12">
        <f t="shared" si="371"/>
        <v>0.20467984204629558</v>
      </c>
      <c r="Y399" s="12">
        <f t="shared" si="371"/>
        <v>0.20212475268853777</v>
      </c>
      <c r="Z399" s="12">
        <f t="shared" si="371"/>
        <v>0.19716989277388611</v>
      </c>
    </row>
    <row r="400" spans="2:31" s="10" customFormat="1">
      <c r="C400" s="10" t="s">
        <v>192</v>
      </c>
      <c r="F400" s="12">
        <f t="shared" si="370"/>
        <v>0.18747045002580548</v>
      </c>
      <c r="G400" s="12">
        <f t="shared" si="370"/>
        <v>0.22783818556513227</v>
      </c>
      <c r="H400" s="12">
        <f t="shared" si="370"/>
        <v>0.18202510445974512</v>
      </c>
      <c r="I400" s="12"/>
      <c r="J400" s="12"/>
      <c r="X400" s="12">
        <f t="shared" si="371"/>
        <v>0.16998577003198076</v>
      </c>
      <c r="Y400" s="12">
        <f t="shared" si="371"/>
        <v>0.18964656607470798</v>
      </c>
      <c r="Z400" s="12">
        <f t="shared" si="371"/>
        <v>0.10225505151075677</v>
      </c>
    </row>
    <row r="404" spans="2:31" s="21" customFormat="1">
      <c r="B404" s="32" t="s">
        <v>212</v>
      </c>
      <c r="C404" s="32"/>
      <c r="D404" s="52" t="s">
        <v>213</v>
      </c>
      <c r="E404" s="32"/>
    </row>
    <row r="405" spans="2:31" s="6" customFormat="1">
      <c r="B405" s="6" t="s">
        <v>214</v>
      </c>
      <c r="G405" s="6">
        <f t="shared" ref="G405:I405" si="372">G406+G407+G408+G409</f>
        <v>102</v>
      </c>
      <c r="H405" s="6">
        <f t="shared" si="372"/>
        <v>125</v>
      </c>
      <c r="I405" s="6">
        <f t="shared" si="372"/>
        <v>145</v>
      </c>
      <c r="J405" s="6">
        <f>J406+J407+J408+J409</f>
        <v>233</v>
      </c>
      <c r="K405" s="6">
        <f>K406+K407+K408+K409</f>
        <v>399</v>
      </c>
      <c r="Z405" s="6">
        <f>Z406+Z407+Z408+Z409</f>
        <v>156</v>
      </c>
      <c r="AB405" s="6">
        <f>AB406+AB407+AB408+AB409</f>
        <v>245</v>
      </c>
      <c r="AD405" s="6">
        <f>AD406+AD407+AD408+AD409</f>
        <v>370</v>
      </c>
    </row>
    <row r="406" spans="2:31">
      <c r="C406" s="1" t="s">
        <v>187</v>
      </c>
      <c r="F406" s="2"/>
      <c r="G406" s="2">
        <v>42</v>
      </c>
      <c r="H406" s="2">
        <v>39</v>
      </c>
      <c r="I406" s="2">
        <v>39</v>
      </c>
      <c r="J406" s="2">
        <v>49</v>
      </c>
      <c r="K406" s="2">
        <v>90</v>
      </c>
      <c r="Z406" s="2">
        <v>45</v>
      </c>
      <c r="AB406" s="2">
        <v>53</v>
      </c>
      <c r="AC406" s="2"/>
      <c r="AD406" s="2">
        <v>65</v>
      </c>
      <c r="AE406" s="2"/>
    </row>
    <row r="407" spans="2:31">
      <c r="C407" s="1" t="s">
        <v>188</v>
      </c>
      <c r="F407" s="2"/>
      <c r="G407" s="2">
        <v>49</v>
      </c>
      <c r="H407" s="2">
        <v>62</v>
      </c>
      <c r="I407" s="2">
        <v>71</v>
      </c>
      <c r="J407" s="2">
        <v>110</v>
      </c>
      <c r="K407" s="2">
        <v>161</v>
      </c>
      <c r="Z407" s="2">
        <v>76</v>
      </c>
      <c r="AB407" s="2">
        <v>117</v>
      </c>
      <c r="AC407" s="2"/>
      <c r="AD407" s="2">
        <v>160</v>
      </c>
      <c r="AE407" s="2"/>
    </row>
    <row r="408" spans="2:31">
      <c r="C408" s="1" t="s">
        <v>191</v>
      </c>
      <c r="F408" s="2"/>
      <c r="G408" s="2">
        <v>7</v>
      </c>
      <c r="H408" s="2">
        <v>17</v>
      </c>
      <c r="I408" s="2">
        <v>26</v>
      </c>
      <c r="J408" s="2">
        <v>57</v>
      </c>
      <c r="K408" s="2">
        <v>113</v>
      </c>
      <c r="Z408" s="2">
        <v>27</v>
      </c>
      <c r="AB408" s="2">
        <v>58</v>
      </c>
      <c r="AC408" s="2"/>
      <c r="AD408" s="2">
        <v>110</v>
      </c>
      <c r="AE408" s="2"/>
    </row>
    <row r="409" spans="2:31">
      <c r="C409" s="1" t="s">
        <v>192</v>
      </c>
      <c r="F409" s="2"/>
      <c r="G409" s="2">
        <v>4</v>
      </c>
      <c r="H409" s="2">
        <v>7</v>
      </c>
      <c r="I409" s="2">
        <v>9</v>
      </c>
      <c r="J409" s="2">
        <v>17</v>
      </c>
      <c r="K409" s="2">
        <v>35</v>
      </c>
      <c r="Z409" s="2">
        <v>8</v>
      </c>
      <c r="AB409" s="2">
        <v>17</v>
      </c>
      <c r="AC409" s="2"/>
      <c r="AD409" s="2">
        <v>35</v>
      </c>
      <c r="AE409" s="2"/>
    </row>
    <row r="411" spans="2:31" ht="19">
      <c r="C411" s="39" t="s">
        <v>215</v>
      </c>
      <c r="G411" s="40">
        <f t="shared" ref="G411:K415" si="373">G405/G263</f>
        <v>0.57954545454545459</v>
      </c>
      <c r="H411" s="40">
        <f t="shared" si="373"/>
        <v>0.45787545787545786</v>
      </c>
      <c r="I411" s="40">
        <f t="shared" si="373"/>
        <v>0.31115879828326182</v>
      </c>
      <c r="J411" s="40">
        <f t="shared" si="373"/>
        <v>0.30338541666666669</v>
      </c>
      <c r="K411" s="40">
        <f t="shared" si="373"/>
        <v>0.30739599383667182</v>
      </c>
      <c r="Z411" s="40"/>
      <c r="AB411" s="40"/>
      <c r="AD411" s="40"/>
    </row>
    <row r="412" spans="2:31">
      <c r="C412" s="1" t="s">
        <v>187</v>
      </c>
      <c r="G412" s="40">
        <f t="shared" si="373"/>
        <v>0.76363636363636367</v>
      </c>
      <c r="H412" s="40">
        <f t="shared" si="373"/>
        <v>0.6</v>
      </c>
      <c r="I412" s="40">
        <f t="shared" si="373"/>
        <v>0.36792452830188677</v>
      </c>
      <c r="J412" s="40">
        <f t="shared" si="373"/>
        <v>0.25789473684210529</v>
      </c>
      <c r="K412" s="40">
        <f t="shared" si="373"/>
        <v>0.35294117647058826</v>
      </c>
      <c r="Z412" s="40"/>
      <c r="AB412" s="40"/>
      <c r="AD412" s="40"/>
    </row>
    <row r="413" spans="2:31">
      <c r="C413" s="1" t="s">
        <v>188</v>
      </c>
      <c r="G413" s="40">
        <f t="shared" si="373"/>
        <v>0.59036144578313254</v>
      </c>
      <c r="H413" s="40">
        <f t="shared" si="373"/>
        <v>0.51666666666666672</v>
      </c>
      <c r="I413" s="40">
        <f t="shared" si="373"/>
        <v>0.34299516908212563</v>
      </c>
      <c r="J413" s="40">
        <f t="shared" si="373"/>
        <v>0.33132530120481929</v>
      </c>
      <c r="K413" s="40">
        <f t="shared" si="373"/>
        <v>0.32264529058116231</v>
      </c>
      <c r="Z413" s="40"/>
      <c r="AB413" s="40"/>
      <c r="AD413" s="40"/>
    </row>
    <row r="414" spans="2:31">
      <c r="C414" s="1" t="s">
        <v>191</v>
      </c>
      <c r="G414" s="40">
        <f t="shared" si="373"/>
        <v>0.2413793103448276</v>
      </c>
      <c r="H414" s="40">
        <f t="shared" si="373"/>
        <v>0.24637681159420291</v>
      </c>
      <c r="I414" s="40">
        <f t="shared" si="373"/>
        <v>0.22222222222222221</v>
      </c>
      <c r="J414" s="40">
        <f t="shared" si="373"/>
        <v>0.29381443298969073</v>
      </c>
      <c r="K414" s="40">
        <f t="shared" si="373"/>
        <v>0.25055432372505543</v>
      </c>
      <c r="Z414" s="40"/>
      <c r="AB414" s="40"/>
      <c r="AD414" s="40"/>
    </row>
    <row r="415" spans="2:31">
      <c r="C415" s="1" t="s">
        <v>192</v>
      </c>
      <c r="G415" s="40">
        <f t="shared" si="373"/>
        <v>0.44444444444444442</v>
      </c>
      <c r="H415" s="40">
        <f t="shared" si="373"/>
        <v>0.36842105263157893</v>
      </c>
      <c r="I415" s="40">
        <f t="shared" si="373"/>
        <v>0.25</v>
      </c>
      <c r="J415" s="40">
        <f t="shared" si="373"/>
        <v>0.32692307692307693</v>
      </c>
      <c r="K415" s="40">
        <f t="shared" si="373"/>
        <v>0.37634408602150538</v>
      </c>
      <c r="Z415" s="40"/>
      <c r="AB415" s="40"/>
      <c r="AD415" s="40"/>
    </row>
    <row r="417" spans="2:30" s="6" customFormat="1" ht="19">
      <c r="B417" s="53" t="s">
        <v>216</v>
      </c>
    </row>
    <row r="418" spans="2:30">
      <c r="B418" s="1" t="s">
        <v>217</v>
      </c>
      <c r="G418" s="1">
        <f t="shared" ref="G418:I418" si="374">G419+G420+G421+G422</f>
        <v>5470.54</v>
      </c>
      <c r="H418" s="1">
        <f t="shared" si="374"/>
        <v>6846.6819999999998</v>
      </c>
      <c r="I418" s="1">
        <f t="shared" si="374"/>
        <v>8106.5259999999998</v>
      </c>
      <c r="J418" s="1">
        <f>J419+J420+J421+J422</f>
        <v>12065.689999999999</v>
      </c>
      <c r="K418" s="1">
        <f>K419+K420+K421+K422</f>
        <v>12137.932499999999</v>
      </c>
      <c r="Z418" s="1">
        <f>Z419+Z420+Z421+Z422</f>
        <v>4194.4769999999999</v>
      </c>
      <c r="AB418" s="1">
        <f>AB419+AB420+AB421+AB422</f>
        <v>6328.0459999999994</v>
      </c>
    </row>
    <row r="419" spans="2:30">
      <c r="C419" s="1" t="s">
        <v>187</v>
      </c>
      <c r="F419" s="2"/>
      <c r="G419" s="2">
        <v>2269.9699999999998</v>
      </c>
      <c r="H419" s="2">
        <v>2177.0100000000002</v>
      </c>
      <c r="I419" s="2">
        <v>2353.5810000000001</v>
      </c>
      <c r="J419" s="2">
        <v>2783.5450000000001</v>
      </c>
      <c r="K419" s="1">
        <f>K425*K431/1000</f>
        <v>2670.8850000000002</v>
      </c>
      <c r="Z419" s="2">
        <v>1303.6089999999999</v>
      </c>
      <c r="AB419" s="2">
        <v>1532.672</v>
      </c>
    </row>
    <row r="420" spans="2:30">
      <c r="C420" s="1" t="s">
        <v>188</v>
      </c>
      <c r="F420" s="2"/>
      <c r="G420" s="2">
        <v>2679.1109999999999</v>
      </c>
      <c r="H420" s="2">
        <v>3525.6729999999998</v>
      </c>
      <c r="I420" s="2">
        <v>4124.4459999999999</v>
      </c>
      <c r="J420" s="2">
        <v>5778.9170000000004</v>
      </c>
      <c r="K420" s="1">
        <f t="shared" ref="K420:K422" si="375">K426*K432/1000</f>
        <v>5281.6544999999996</v>
      </c>
      <c r="Z420" s="2">
        <v>2128.6109999999999</v>
      </c>
      <c r="AB420" s="2">
        <v>3085.558</v>
      </c>
    </row>
    <row r="421" spans="2:30">
      <c r="C421" s="1" t="s">
        <v>191</v>
      </c>
      <c r="F421" s="2"/>
      <c r="G421" s="2">
        <v>262.37599999999998</v>
      </c>
      <c r="H421" s="2">
        <v>680.14800000000002</v>
      </c>
      <c r="I421" s="2">
        <v>1113.1279999999999</v>
      </c>
      <c r="J421" s="2">
        <v>2463.8890000000001</v>
      </c>
      <c r="K421" s="1">
        <f t="shared" si="375"/>
        <v>3157.665</v>
      </c>
      <c r="Z421" s="2">
        <v>539.91999999999996</v>
      </c>
      <c r="AB421" s="2">
        <v>1233.4369999999999</v>
      </c>
    </row>
    <row r="422" spans="2:30">
      <c r="C422" s="1" t="s">
        <v>192</v>
      </c>
      <c r="F422" s="2"/>
      <c r="G422" s="2">
        <v>259.08300000000003</v>
      </c>
      <c r="H422" s="2">
        <v>463.851</v>
      </c>
      <c r="I422" s="2">
        <v>515.37099999999998</v>
      </c>
      <c r="J422" s="2">
        <v>1039.3389999999999</v>
      </c>
      <c r="K422" s="1">
        <f t="shared" si="375"/>
        <v>1027.7280000000001</v>
      </c>
      <c r="Z422" s="2">
        <v>222.33699999999999</v>
      </c>
      <c r="AB422" s="2">
        <v>476.37900000000002</v>
      </c>
    </row>
    <row r="424" spans="2:30">
      <c r="B424" s="1" t="s">
        <v>218</v>
      </c>
      <c r="G424" s="1">
        <f t="shared" ref="G424:I424" si="376">G418/G430*1000</f>
        <v>147.26707330130336</v>
      </c>
      <c r="H424" s="1">
        <f t="shared" si="376"/>
        <v>150.77410001267768</v>
      </c>
      <c r="I424" s="1">
        <f t="shared" si="376"/>
        <v>154.03611762784024</v>
      </c>
      <c r="J424" s="1">
        <f>J418/J430*1000</f>
        <v>142.6237424871376</v>
      </c>
      <c r="K424" s="1">
        <f>K418/K430*1000</f>
        <v>104.94857594936707</v>
      </c>
    </row>
    <row r="425" spans="2:30">
      <c r="C425" s="1" t="s">
        <v>187</v>
      </c>
      <c r="F425" s="2"/>
      <c r="G425" s="2">
        <v>148.19999999999999</v>
      </c>
      <c r="H425" s="2">
        <v>154.4</v>
      </c>
      <c r="I425" s="2">
        <v>165.8</v>
      </c>
      <c r="J425" s="2">
        <v>156.1</v>
      </c>
      <c r="K425" s="2">
        <v>105</v>
      </c>
      <c r="Z425" s="2">
        <v>160.9</v>
      </c>
      <c r="AB425" s="2">
        <v>161.5</v>
      </c>
      <c r="AD425" s="2">
        <v>97.3</v>
      </c>
    </row>
    <row r="426" spans="2:30">
      <c r="C426" s="1" t="s">
        <v>188</v>
      </c>
      <c r="F426" s="2"/>
      <c r="G426" s="2">
        <v>150.4</v>
      </c>
      <c r="H426" s="2">
        <v>156.19999999999999</v>
      </c>
      <c r="I426" s="2">
        <v>160</v>
      </c>
      <c r="J426" s="2">
        <v>144.9</v>
      </c>
      <c r="K426" s="2">
        <v>106.5</v>
      </c>
      <c r="Z426" s="2">
        <v>155.4</v>
      </c>
      <c r="AB426" s="2">
        <v>146.69999999999999</v>
      </c>
      <c r="AD426" s="2">
        <v>100.1</v>
      </c>
    </row>
    <row r="427" spans="2:30">
      <c r="C427" s="1" t="s">
        <v>191</v>
      </c>
      <c r="F427" s="2"/>
      <c r="G427" s="2">
        <v>102.6</v>
      </c>
      <c r="H427" s="2">
        <v>109.8</v>
      </c>
      <c r="I427" s="2">
        <v>117.8</v>
      </c>
      <c r="J427" s="2">
        <v>119</v>
      </c>
      <c r="K427" s="2">
        <v>101.5</v>
      </c>
      <c r="Z427" s="2">
        <v>111.3</v>
      </c>
      <c r="AB427" s="2">
        <v>117.9</v>
      </c>
      <c r="AD427" s="2">
        <v>96.1</v>
      </c>
    </row>
    <row r="428" spans="2:30">
      <c r="C428" s="1" t="s">
        <v>192</v>
      </c>
      <c r="F428" s="2"/>
      <c r="G428" s="2">
        <v>177.5</v>
      </c>
      <c r="H428" s="2">
        <v>182.3</v>
      </c>
      <c r="I428" s="2">
        <v>160.80000000000001</v>
      </c>
      <c r="J428" s="2">
        <v>168.2</v>
      </c>
      <c r="K428" s="2">
        <v>108</v>
      </c>
      <c r="Z428" s="2">
        <v>155.4</v>
      </c>
      <c r="AB428" s="2">
        <v>156</v>
      </c>
      <c r="AD428" s="2">
        <v>96.8</v>
      </c>
    </row>
    <row r="430" spans="2:30">
      <c r="B430" s="1" t="s">
        <v>219</v>
      </c>
      <c r="G430" s="1">
        <f t="shared" ref="G430:I430" si="377">G431+G432+G433+G434</f>
        <v>37147.068094491588</v>
      </c>
      <c r="H430" s="1">
        <f t="shared" si="377"/>
        <v>45410.19975860777</v>
      </c>
      <c r="I430" s="1">
        <f t="shared" si="377"/>
        <v>52627.436505416299</v>
      </c>
      <c r="J430" s="1">
        <f>J431+J432+J433+J434</f>
        <v>84598.046507495994</v>
      </c>
      <c r="K430" s="1">
        <f>K431+K432+K433+K434</f>
        <v>115656</v>
      </c>
    </row>
    <row r="431" spans="2:30">
      <c r="C431" s="1" t="s">
        <v>187</v>
      </c>
      <c r="G431" s="1">
        <f t="shared" ref="G431:J434" si="378">G419*1000/G425</f>
        <v>15316.936572199731</v>
      </c>
      <c r="H431" s="1">
        <f t="shared" si="378"/>
        <v>14099.805699481865</v>
      </c>
      <c r="I431" s="1">
        <f t="shared" si="378"/>
        <v>14195.301568154402</v>
      </c>
      <c r="J431" s="1">
        <f>J419*1000/J425</f>
        <v>17831.806534272902</v>
      </c>
      <c r="K431" s="3">
        <f>AVERAGE(J406:K406)*K$2</f>
        <v>25437</v>
      </c>
    </row>
    <row r="432" spans="2:30">
      <c r="C432" s="1" t="s">
        <v>188</v>
      </c>
      <c r="G432" s="1">
        <f t="shared" si="378"/>
        <v>17813.238031914894</v>
      </c>
      <c r="H432" s="1">
        <f t="shared" si="378"/>
        <v>22571.530089628683</v>
      </c>
      <c r="I432" s="1">
        <f t="shared" si="378"/>
        <v>25777.787499999999</v>
      </c>
      <c r="J432" s="1">
        <f t="shared" si="378"/>
        <v>39882.104899930986</v>
      </c>
      <c r="K432" s="3">
        <f t="shared" ref="K432:K434" si="379">AVERAGE(J407:K407)*K$2</f>
        <v>49593</v>
      </c>
    </row>
    <row r="433" spans="2:30">
      <c r="C433" s="1" t="s">
        <v>191</v>
      </c>
      <c r="G433" s="1">
        <f t="shared" si="378"/>
        <v>2557.2709551656922</v>
      </c>
      <c r="H433" s="1">
        <f t="shared" si="378"/>
        <v>6194.4262295081971</v>
      </c>
      <c r="I433" s="1">
        <f t="shared" si="378"/>
        <v>9449.3039049235995</v>
      </c>
      <c r="J433" s="1">
        <f t="shared" si="378"/>
        <v>20704.949579831933</v>
      </c>
      <c r="K433" s="3">
        <f t="shared" si="379"/>
        <v>31110</v>
      </c>
    </row>
    <row r="434" spans="2:30">
      <c r="C434" s="1" t="s">
        <v>192</v>
      </c>
      <c r="G434" s="1">
        <f t="shared" si="378"/>
        <v>1459.6225352112679</v>
      </c>
      <c r="H434" s="1">
        <f t="shared" si="378"/>
        <v>2544.4377399890291</v>
      </c>
      <c r="I434" s="1">
        <f t="shared" si="378"/>
        <v>3205.0435323383081</v>
      </c>
      <c r="J434" s="1">
        <f t="shared" si="378"/>
        <v>6179.185493460167</v>
      </c>
      <c r="K434" s="3">
        <f t="shared" si="379"/>
        <v>9516</v>
      </c>
    </row>
    <row r="436" spans="2:30">
      <c r="B436" s="1" t="s">
        <v>220</v>
      </c>
    </row>
    <row r="437" spans="2:30" s="43" customFormat="1">
      <c r="C437" s="43" t="s">
        <v>187</v>
      </c>
      <c r="F437" s="44"/>
      <c r="G437" s="44">
        <v>4.3</v>
      </c>
      <c r="H437" s="44">
        <v>4.8</v>
      </c>
      <c r="I437" s="44"/>
      <c r="J437" s="44">
        <v>5.0999999999999996</v>
      </c>
      <c r="K437" s="44">
        <v>3.7</v>
      </c>
      <c r="Z437" s="44">
        <v>5.0999999999999996</v>
      </c>
      <c r="AB437" s="44">
        <v>5.0999999999999996</v>
      </c>
      <c r="AD437" s="44">
        <v>3.4</v>
      </c>
    </row>
    <row r="438" spans="2:30" s="43" customFormat="1">
      <c r="C438" s="43" t="s">
        <v>188</v>
      </c>
      <c r="F438" s="44"/>
      <c r="G438" s="44">
        <v>4.8</v>
      </c>
      <c r="H438" s="44">
        <v>5.3</v>
      </c>
      <c r="I438" s="44"/>
      <c r="J438" s="44">
        <v>5.3</v>
      </c>
      <c r="K438" s="44">
        <v>4.0999999999999996</v>
      </c>
      <c r="Z438" s="44">
        <v>5.3</v>
      </c>
      <c r="AB438" s="44">
        <v>5.3</v>
      </c>
      <c r="AD438" s="44">
        <v>3.8</v>
      </c>
    </row>
    <row r="439" spans="2:30" s="43" customFormat="1">
      <c r="C439" s="43" t="s">
        <v>191</v>
      </c>
      <c r="F439" s="44"/>
      <c r="G439" s="44">
        <v>3.8</v>
      </c>
      <c r="H439" s="44">
        <v>4.7</v>
      </c>
      <c r="I439" s="44"/>
      <c r="J439" s="44">
        <v>5.2</v>
      </c>
      <c r="K439" s="44">
        <v>4.3</v>
      </c>
      <c r="Z439" s="44">
        <v>5</v>
      </c>
      <c r="AB439" s="44">
        <v>5.0999999999999996</v>
      </c>
      <c r="AD439" s="44">
        <v>4.0999999999999996</v>
      </c>
    </row>
    <row r="440" spans="2:30" s="43" customFormat="1">
      <c r="C440" s="43" t="s">
        <v>192</v>
      </c>
      <c r="F440" s="44"/>
      <c r="G440" s="44">
        <v>5.2</v>
      </c>
      <c r="H440" s="44">
        <v>5.0999999999999996</v>
      </c>
      <c r="I440" s="44"/>
      <c r="J440" s="44">
        <v>4.4000000000000004</v>
      </c>
      <c r="K440" s="44">
        <v>3</v>
      </c>
      <c r="Z440" s="44">
        <v>4.5</v>
      </c>
      <c r="AB440" s="44">
        <v>4.3</v>
      </c>
      <c r="AD440" s="44">
        <v>2.7</v>
      </c>
    </row>
    <row r="442" spans="2:30" s="6" customFormat="1" ht="19">
      <c r="B442" s="53" t="s">
        <v>221</v>
      </c>
    </row>
    <row r="443" spans="2:30">
      <c r="B443" s="1" t="s">
        <v>217</v>
      </c>
      <c r="G443" s="1">
        <f t="shared" ref="G443:I443" si="380">G444+G445+G446+G447</f>
        <v>4795.6349999999993</v>
      </c>
      <c r="H443" s="1">
        <f t="shared" si="380"/>
        <v>6006.8130000000001</v>
      </c>
      <c r="I443" s="1">
        <f t="shared" si="380"/>
        <v>7630.0280000000002</v>
      </c>
      <c r="J443" s="1">
        <f>J444+J445+J446+J447</f>
        <v>11879.693000000001</v>
      </c>
      <c r="K443" s="1">
        <f>K444+K445+K446+K447</f>
        <v>14751.135899999999</v>
      </c>
      <c r="Z443" s="1">
        <f>Z444+Z445+Z446+Z447</f>
        <v>3941.2730000000001</v>
      </c>
      <c r="AB443" s="1">
        <f>AB444+AB445+AB446+AB447</f>
        <v>6042.701</v>
      </c>
    </row>
    <row r="444" spans="2:30">
      <c r="C444" s="1" t="s">
        <v>187</v>
      </c>
      <c r="F444" s="2"/>
      <c r="G444" s="2">
        <v>2046.712</v>
      </c>
      <c r="H444" s="2">
        <v>1931.9590000000001</v>
      </c>
      <c r="I444" s="2">
        <v>2106.973</v>
      </c>
      <c r="J444" s="2">
        <v>2787.9140000000002</v>
      </c>
      <c r="K444" s="1">
        <f>K450*K456/1000</f>
        <v>3482.3253000000004</v>
      </c>
      <c r="Z444" s="2">
        <v>1161.4570000000001</v>
      </c>
      <c r="AB444" s="2">
        <v>1483.3889999999999</v>
      </c>
    </row>
    <row r="445" spans="2:30">
      <c r="C445" s="1" t="s">
        <v>188</v>
      </c>
      <c r="F445" s="2"/>
      <c r="G445" s="2">
        <v>2298.491</v>
      </c>
      <c r="H445" s="2">
        <v>3078.9749999999999</v>
      </c>
      <c r="I445" s="2">
        <v>3953.683</v>
      </c>
      <c r="J445" s="2">
        <v>5889.1880000000001</v>
      </c>
      <c r="K445" s="1">
        <f t="shared" ref="K445:K447" si="381">K451*K457/1000</f>
        <v>6357.8225999999995</v>
      </c>
      <c r="Z445" s="2">
        <v>2043.2940000000001</v>
      </c>
      <c r="AB445" s="2">
        <v>3028.29</v>
      </c>
    </row>
    <row r="446" spans="2:30">
      <c r="C446" s="1" t="s">
        <v>191</v>
      </c>
      <c r="F446" s="2"/>
      <c r="G446" s="2">
        <v>233.768</v>
      </c>
      <c r="H446" s="2">
        <v>584.77800000000002</v>
      </c>
      <c r="I446" s="2">
        <v>1006.057</v>
      </c>
      <c r="J446" s="2">
        <v>2274.1909999999998</v>
      </c>
      <c r="K446" s="1">
        <f t="shared" si="381"/>
        <v>3521.652</v>
      </c>
      <c r="Z446" s="2">
        <v>507.721</v>
      </c>
      <c r="AB446" s="2">
        <v>1096.682</v>
      </c>
    </row>
    <row r="447" spans="2:30">
      <c r="C447" s="1" t="s">
        <v>192</v>
      </c>
      <c r="F447" s="2"/>
      <c r="G447" s="2">
        <v>216.66399999999999</v>
      </c>
      <c r="H447" s="2">
        <v>411.101</v>
      </c>
      <c r="I447" s="2">
        <v>563.31500000000005</v>
      </c>
      <c r="J447" s="2">
        <v>928.4</v>
      </c>
      <c r="K447" s="1">
        <f t="shared" si="381"/>
        <v>1389.336</v>
      </c>
      <c r="Z447" s="2">
        <v>228.80099999999999</v>
      </c>
      <c r="AB447" s="2">
        <v>434.34</v>
      </c>
    </row>
    <row r="449" spans="2:30">
      <c r="B449" s="1" t="s">
        <v>222</v>
      </c>
      <c r="G449" s="1">
        <f t="shared" ref="G449:I449" si="382">G443/G455*1000</f>
        <v>129.50203783506231</v>
      </c>
      <c r="H449" s="1">
        <f t="shared" si="382"/>
        <v>131.85895299604721</v>
      </c>
      <c r="I449" s="1">
        <f t="shared" si="382"/>
        <v>144.8205856094043</v>
      </c>
      <c r="J449" s="1">
        <f>J443/J455*1000</f>
        <v>140.33777234186843</v>
      </c>
      <c r="K449" s="1">
        <f>K443/K455*1000</f>
        <v>127.54319620253163</v>
      </c>
    </row>
    <row r="450" spans="2:30">
      <c r="C450" s="1" t="s">
        <v>187</v>
      </c>
      <c r="F450" s="2"/>
      <c r="G450" s="2">
        <v>134.19999999999999</v>
      </c>
      <c r="H450" s="2">
        <v>135.69999999999999</v>
      </c>
      <c r="I450" s="2">
        <v>149.5</v>
      </c>
      <c r="J450" s="2">
        <v>156.69999999999999</v>
      </c>
      <c r="K450" s="2">
        <v>136.9</v>
      </c>
      <c r="Z450" s="2">
        <v>144</v>
      </c>
      <c r="AB450" s="2">
        <v>155.4</v>
      </c>
      <c r="AD450" s="2">
        <v>133.80000000000001</v>
      </c>
    </row>
    <row r="451" spans="2:30">
      <c r="C451" s="1" t="s">
        <v>188</v>
      </c>
      <c r="F451" s="2"/>
      <c r="G451" s="2">
        <v>129.30000000000001</v>
      </c>
      <c r="H451" s="2">
        <v>136.5</v>
      </c>
      <c r="I451" s="2">
        <v>153</v>
      </c>
      <c r="J451" s="2">
        <v>147.1</v>
      </c>
      <c r="K451" s="2">
        <v>128.19999999999999</v>
      </c>
      <c r="Z451" s="2">
        <v>149.30000000000001</v>
      </c>
      <c r="AB451" s="2">
        <v>143.6</v>
      </c>
      <c r="AD451" s="2">
        <v>126.7</v>
      </c>
    </row>
    <row r="452" spans="2:30">
      <c r="C452" s="1" t="s">
        <v>191</v>
      </c>
      <c r="F452" s="2"/>
      <c r="G452" s="2">
        <v>91.9</v>
      </c>
      <c r="H452" s="2">
        <v>94.2</v>
      </c>
      <c r="I452" s="2">
        <v>106.1</v>
      </c>
      <c r="J452" s="2">
        <v>109.8</v>
      </c>
      <c r="K452" s="2">
        <v>113.2</v>
      </c>
      <c r="Z452" s="2">
        <v>104.1</v>
      </c>
      <c r="AB452" s="2">
        <v>104.9</v>
      </c>
      <c r="AD452" s="2">
        <v>110.9</v>
      </c>
    </row>
    <row r="453" spans="2:30">
      <c r="C453" s="1" t="s">
        <v>192</v>
      </c>
      <c r="F453" s="2"/>
      <c r="G453" s="2">
        <v>148.4</v>
      </c>
      <c r="H453" s="2">
        <v>161</v>
      </c>
      <c r="I453" s="2">
        <v>172.3</v>
      </c>
      <c r="J453" s="2">
        <v>151.9</v>
      </c>
      <c r="K453" s="2">
        <v>146</v>
      </c>
      <c r="Z453" s="2">
        <v>159.5</v>
      </c>
      <c r="AB453" s="2">
        <v>142.69999999999999</v>
      </c>
      <c r="AD453" s="2">
        <v>139.4</v>
      </c>
    </row>
    <row r="455" spans="2:30">
      <c r="B455" s="1" t="s">
        <v>219</v>
      </c>
      <c r="G455" s="1">
        <f t="shared" ref="G455:I455" si="383">G456+G457+G458+G459</f>
        <v>37031.34777004717</v>
      </c>
      <c r="H455" s="1">
        <f t="shared" si="383"/>
        <v>45554.836160272476</v>
      </c>
      <c r="I455" s="1">
        <f t="shared" si="383"/>
        <v>52686.073377571847</v>
      </c>
      <c r="J455" s="1">
        <f>J456+J457+J458+J459</f>
        <v>84650.716637147372</v>
      </c>
      <c r="K455" s="1">
        <f>K456+K457+K458+K459</f>
        <v>115656</v>
      </c>
    </row>
    <row r="456" spans="2:30">
      <c r="C456" s="1" t="s">
        <v>187</v>
      </c>
      <c r="G456" s="1">
        <f t="shared" ref="G456:J459" si="384">G444*1000/G450</f>
        <v>15251.207153502237</v>
      </c>
      <c r="H456" s="1">
        <f t="shared" si="384"/>
        <v>14236.985998526161</v>
      </c>
      <c r="I456" s="1">
        <f t="shared" si="384"/>
        <v>14093.464882943144</v>
      </c>
      <c r="J456" s="1">
        <f>J444*1000/J450</f>
        <v>17791.410338225909</v>
      </c>
      <c r="K456" s="3">
        <f>AVERAGE(J406:K406)*K$2</f>
        <v>25437</v>
      </c>
    </row>
    <row r="457" spans="2:30">
      <c r="C457" s="1" t="s">
        <v>188</v>
      </c>
      <c r="G457" s="1">
        <f t="shared" si="384"/>
        <v>17776.419180201083</v>
      </c>
      <c r="H457" s="1">
        <f t="shared" si="384"/>
        <v>22556.593406593405</v>
      </c>
      <c r="I457" s="1">
        <f t="shared" si="384"/>
        <v>25841.065359477125</v>
      </c>
      <c r="J457" s="1">
        <f t="shared" si="384"/>
        <v>40035.268524813051</v>
      </c>
      <c r="K457" s="3">
        <f t="shared" ref="K457:K459" si="385">AVERAGE(J407:K407)*K$2</f>
        <v>49593</v>
      </c>
    </row>
    <row r="458" spans="2:30">
      <c r="C458" s="1" t="s">
        <v>191</v>
      </c>
      <c r="G458" s="1">
        <f t="shared" si="384"/>
        <v>2543.721436343852</v>
      </c>
      <c r="H458" s="1">
        <f t="shared" si="384"/>
        <v>6207.8343949044583</v>
      </c>
      <c r="I458" s="1">
        <f t="shared" si="384"/>
        <v>9482.1583411875599</v>
      </c>
      <c r="J458" s="1">
        <f t="shared" si="384"/>
        <v>20712.12204007286</v>
      </c>
      <c r="K458" s="3">
        <f t="shared" si="385"/>
        <v>31110</v>
      </c>
    </row>
    <row r="459" spans="2:30">
      <c r="C459" s="1" t="s">
        <v>192</v>
      </c>
      <c r="G459" s="1">
        <f t="shared" si="384"/>
        <v>1460</v>
      </c>
      <c r="H459" s="1">
        <f t="shared" si="384"/>
        <v>2553.4223602484471</v>
      </c>
      <c r="I459" s="1">
        <f t="shared" si="384"/>
        <v>3269.3847939640159</v>
      </c>
      <c r="J459" s="1">
        <f t="shared" si="384"/>
        <v>6111.9157340355496</v>
      </c>
      <c r="K459" s="3">
        <f t="shared" si="385"/>
        <v>9516</v>
      </c>
    </row>
    <row r="461" spans="2:30">
      <c r="B461" s="1" t="s">
        <v>220</v>
      </c>
    </row>
    <row r="462" spans="2:30" s="43" customFormat="1">
      <c r="C462" s="43" t="s">
        <v>187</v>
      </c>
      <c r="F462" s="44"/>
      <c r="G462" s="44">
        <v>3.9</v>
      </c>
      <c r="H462" s="44">
        <v>4.3</v>
      </c>
      <c r="I462" s="44"/>
      <c r="J462" s="44">
        <v>5.2</v>
      </c>
      <c r="K462" s="44">
        <v>4.9000000000000004</v>
      </c>
      <c r="Z462" s="44">
        <v>4.7</v>
      </c>
      <c r="AB462" s="44">
        <v>5.0999999999999996</v>
      </c>
      <c r="AD462" s="44">
        <v>4.7</v>
      </c>
    </row>
    <row r="463" spans="2:30" s="43" customFormat="1">
      <c r="C463" s="43" t="s">
        <v>188</v>
      </c>
      <c r="F463" s="44"/>
      <c r="G463" s="44">
        <v>4.0999999999999996</v>
      </c>
      <c r="H463" s="44">
        <v>4.8</v>
      </c>
      <c r="I463" s="44"/>
      <c r="J463" s="44">
        <v>5.4</v>
      </c>
      <c r="K463" s="44">
        <v>5.0999999999999996</v>
      </c>
      <c r="Z463" s="44">
        <v>5.3</v>
      </c>
      <c r="AB463" s="44">
        <v>5.2</v>
      </c>
      <c r="AD463" s="44">
        <v>5</v>
      </c>
    </row>
    <row r="464" spans="2:30" s="43" customFormat="1">
      <c r="C464" s="43" t="s">
        <v>191</v>
      </c>
      <c r="F464" s="44"/>
      <c r="G464" s="44">
        <v>3.4</v>
      </c>
      <c r="H464" s="44">
        <v>4.0999999999999996</v>
      </c>
      <c r="I464" s="44"/>
      <c r="J464" s="44">
        <v>4.9000000000000004</v>
      </c>
      <c r="K464" s="44">
        <v>4.9000000000000004</v>
      </c>
      <c r="Z464" s="44">
        <v>4.7</v>
      </c>
      <c r="AB464" s="44">
        <v>4.7</v>
      </c>
      <c r="AD464" s="44">
        <v>4.8</v>
      </c>
    </row>
    <row r="465" spans="2:30" s="43" customFormat="1">
      <c r="C465" s="43" t="s">
        <v>192</v>
      </c>
      <c r="F465" s="44"/>
      <c r="G465" s="44">
        <v>4.4000000000000004</v>
      </c>
      <c r="H465" s="44">
        <v>5</v>
      </c>
      <c r="I465" s="44"/>
      <c r="J465" s="44">
        <v>4</v>
      </c>
      <c r="K465" s="44">
        <v>4</v>
      </c>
      <c r="Z465" s="44">
        <v>4.5</v>
      </c>
      <c r="AB465" s="44">
        <v>3.9</v>
      </c>
      <c r="AD465" s="44">
        <v>3.9</v>
      </c>
    </row>
    <row r="467" spans="2:30" s="6" customFormat="1" ht="19">
      <c r="B467" s="53" t="s">
        <v>223</v>
      </c>
    </row>
    <row r="468" spans="2:30" s="22" customFormat="1">
      <c r="B468" s="22" t="s">
        <v>224</v>
      </c>
      <c r="D468" s="54"/>
      <c r="G468" s="55">
        <f t="shared" ref="G468:I472" si="386">G418/G443-1</f>
        <v>0.14073318757578512</v>
      </c>
      <c r="H468" s="55">
        <f t="shared" si="386"/>
        <v>0.1398194017359955</v>
      </c>
      <c r="I468" s="55">
        <f t="shared" si="386"/>
        <v>6.2450360601560062E-2</v>
      </c>
      <c r="J468" s="55">
        <f t="shared" ref="J468:K472" si="387">J418/J443-1</f>
        <v>1.5656717728311564E-2</v>
      </c>
      <c r="K468" s="55">
        <f t="shared" si="387"/>
        <v>-0.17715268964473441</v>
      </c>
      <c r="Z468" s="55">
        <f>Z418/Z443-1</f>
        <v>6.4244217540880832E-2</v>
      </c>
      <c r="AB468" s="55">
        <f>AB418/AB443-1</f>
        <v>4.7221432932061269E-2</v>
      </c>
    </row>
    <row r="469" spans="2:30" s="22" customFormat="1">
      <c r="C469" s="22" t="s">
        <v>187</v>
      </c>
      <c r="G469" s="55">
        <f t="shared" si="386"/>
        <v>0.10908129722208093</v>
      </c>
      <c r="H469" s="55">
        <f t="shared" si="386"/>
        <v>0.12684068347206123</v>
      </c>
      <c r="I469" s="55">
        <f t="shared" si="386"/>
        <v>0.11704374000046514</v>
      </c>
      <c r="J469" s="55">
        <f t="shared" si="387"/>
        <v>-1.567121510921865E-3</v>
      </c>
      <c r="K469" s="55">
        <f t="shared" si="387"/>
        <v>-0.23301680058436813</v>
      </c>
      <c r="Z469" s="55">
        <f>Z419/Z444-1</f>
        <v>0.12239110014404297</v>
      </c>
      <c r="AB469" s="55">
        <f>AB419/AB444-1</f>
        <v>3.3223247577001125E-2</v>
      </c>
      <c r="AD469" s="56">
        <f>AD425/AD450-1</f>
        <v>-0.27279521674140517</v>
      </c>
    </row>
    <row r="470" spans="2:30" s="22" customFormat="1">
      <c r="C470" s="22" t="s">
        <v>188</v>
      </c>
      <c r="G470" s="55">
        <f t="shared" si="386"/>
        <v>0.16559560163602982</v>
      </c>
      <c r="H470" s="55">
        <f t="shared" si="386"/>
        <v>0.14508009970850688</v>
      </c>
      <c r="I470" s="55">
        <f t="shared" si="386"/>
        <v>4.3190867856628845E-2</v>
      </c>
      <c r="J470" s="55">
        <f t="shared" si="387"/>
        <v>-1.8724313097153611E-2</v>
      </c>
      <c r="K470" s="55">
        <f t="shared" si="387"/>
        <v>-0.16926677067082685</v>
      </c>
      <c r="Z470" s="55">
        <f>Z420/Z445-1</f>
        <v>4.1754637364960656E-2</v>
      </c>
      <c r="AB470" s="55">
        <f>AB420/AB445-1</f>
        <v>1.8911002579013347E-2</v>
      </c>
      <c r="AD470" s="56">
        <f t="shared" ref="AD470:AD472" si="388">AD426/AD451-1</f>
        <v>-0.20994475138121549</v>
      </c>
    </row>
    <row r="471" spans="2:30" s="22" customFormat="1">
      <c r="C471" s="22" t="s">
        <v>191</v>
      </c>
      <c r="G471" s="55">
        <f t="shared" si="386"/>
        <v>0.12237774203483776</v>
      </c>
      <c r="H471" s="55">
        <f t="shared" si="386"/>
        <v>0.16308753065265802</v>
      </c>
      <c r="I471" s="55">
        <f t="shared" si="386"/>
        <v>0.10642637544393607</v>
      </c>
      <c r="J471" s="55">
        <f t="shared" si="387"/>
        <v>8.3413398434872166E-2</v>
      </c>
      <c r="K471" s="55">
        <f t="shared" si="387"/>
        <v>-0.10335689045936403</v>
      </c>
      <c r="Z471" s="55">
        <f>Z421/Z446-1</f>
        <v>6.3418688610476837E-2</v>
      </c>
      <c r="AB471" s="55">
        <f>AB421/AB446-1</f>
        <v>0.12469886439277733</v>
      </c>
      <c r="AD471" s="56">
        <f t="shared" si="388"/>
        <v>-0.13345356176735812</v>
      </c>
    </row>
    <row r="472" spans="2:30" s="22" customFormat="1">
      <c r="C472" s="22" t="s">
        <v>192</v>
      </c>
      <c r="G472" s="55">
        <f t="shared" si="386"/>
        <v>0.19578240962965721</v>
      </c>
      <c r="H472" s="55">
        <f t="shared" si="386"/>
        <v>0.12831396664080108</v>
      </c>
      <c r="I472" s="55">
        <f t="shared" si="386"/>
        <v>-8.5110462174804669E-2</v>
      </c>
      <c r="J472" s="55">
        <f t="shared" si="387"/>
        <v>0.11949482981473492</v>
      </c>
      <c r="K472" s="55">
        <f t="shared" si="387"/>
        <v>-0.26027397260273966</v>
      </c>
      <c r="Z472" s="55">
        <f>Z422/Z447-1</f>
        <v>-2.8251624774367268E-2</v>
      </c>
      <c r="AB472" s="55">
        <f>AB422/AB447-1</f>
        <v>9.6788230418566101E-2</v>
      </c>
      <c r="AD472" s="56">
        <f t="shared" si="388"/>
        <v>-0.30559540889526549</v>
      </c>
    </row>
    <row r="473" spans="2:30" s="22" customFormat="1"/>
    <row r="474" spans="2:30" s="22" customFormat="1">
      <c r="B474" s="22" t="s">
        <v>225</v>
      </c>
    </row>
    <row r="475" spans="2:30" s="22" customFormat="1">
      <c r="C475" s="22" t="s">
        <v>187</v>
      </c>
      <c r="G475" s="55">
        <f t="shared" ref="G475:H478" si="389">G437/G462-1</f>
        <v>0.10256410256410264</v>
      </c>
      <c r="H475" s="55">
        <f t="shared" si="389"/>
        <v>0.11627906976744184</v>
      </c>
      <c r="I475" s="55"/>
      <c r="J475" s="55">
        <f t="shared" ref="J475:K478" si="390">J437/J462-1</f>
        <v>-1.9230769230769384E-2</v>
      </c>
      <c r="K475" s="55">
        <f t="shared" si="390"/>
        <v>-0.24489795918367352</v>
      </c>
      <c r="Z475" s="55">
        <f>Z437/Z462-1</f>
        <v>8.5106382978723305E-2</v>
      </c>
      <c r="AB475" s="55">
        <f>AB437/AB462-1</f>
        <v>0</v>
      </c>
      <c r="AD475" s="55">
        <f>AD437/AD462-1</f>
        <v>-0.27659574468085113</v>
      </c>
    </row>
    <row r="476" spans="2:30" s="22" customFormat="1">
      <c r="C476" s="22" t="s">
        <v>188</v>
      </c>
      <c r="G476" s="55">
        <f t="shared" si="389"/>
        <v>0.17073170731707332</v>
      </c>
      <c r="H476" s="55">
        <f t="shared" si="389"/>
        <v>0.10416666666666674</v>
      </c>
      <c r="I476" s="55"/>
      <c r="J476" s="55">
        <f t="shared" si="390"/>
        <v>-1.8518518518518601E-2</v>
      </c>
      <c r="K476" s="55">
        <f t="shared" si="390"/>
        <v>-0.19607843137254899</v>
      </c>
      <c r="Z476" s="55">
        <f>Z438/Z463-1</f>
        <v>0</v>
      </c>
      <c r="AB476" s="55">
        <f>AB438/AB463-1</f>
        <v>1.9230769230769162E-2</v>
      </c>
      <c r="AD476" s="55">
        <f>AD438/AD463-1</f>
        <v>-0.24</v>
      </c>
    </row>
    <row r="477" spans="2:30" s="22" customFormat="1">
      <c r="C477" s="22" t="s">
        <v>191</v>
      </c>
      <c r="G477" s="55">
        <f t="shared" si="389"/>
        <v>0.11764705882352944</v>
      </c>
      <c r="H477" s="55">
        <f t="shared" si="389"/>
        <v>0.14634146341463428</v>
      </c>
      <c r="I477" s="55"/>
      <c r="J477" s="55">
        <f t="shared" si="390"/>
        <v>6.1224489795918435E-2</v>
      </c>
      <c r="K477" s="55">
        <f t="shared" si="390"/>
        <v>-0.12244897959183687</v>
      </c>
      <c r="Z477" s="55">
        <f>Z439/Z464-1</f>
        <v>6.3829787234042534E-2</v>
      </c>
      <c r="AB477" s="55">
        <f>AB439/AB464-1</f>
        <v>8.5106382978723305E-2</v>
      </c>
      <c r="AD477" s="55">
        <f>AD439/AD464-1</f>
        <v>-0.14583333333333337</v>
      </c>
    </row>
    <row r="478" spans="2:30" s="22" customFormat="1">
      <c r="C478" s="22" t="s">
        <v>192</v>
      </c>
      <c r="G478" s="55">
        <f t="shared" si="389"/>
        <v>0.18181818181818166</v>
      </c>
      <c r="H478" s="55">
        <f t="shared" si="389"/>
        <v>2.0000000000000018E-2</v>
      </c>
      <c r="I478" s="55"/>
      <c r="J478" s="55">
        <f t="shared" si="390"/>
        <v>0.10000000000000009</v>
      </c>
      <c r="K478" s="55">
        <f t="shared" si="390"/>
        <v>-0.25</v>
      </c>
      <c r="Z478" s="55">
        <f>Z440/Z465-1</f>
        <v>0</v>
      </c>
      <c r="AB478" s="55">
        <f>AB440/AB465-1</f>
        <v>0.10256410256410264</v>
      </c>
      <c r="AD478" s="55">
        <f>AD440/AD465-1</f>
        <v>-0.3076923076923076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使用说明</vt:lpstr>
      <vt:lpstr>海底捞model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 Yu Fei</dc:creator>
  <cp:lastModifiedBy>Qiu Yu Fei</cp:lastModifiedBy>
  <dcterms:created xsi:type="dcterms:W3CDTF">2021-03-24T05:52:33Z</dcterms:created>
  <dcterms:modified xsi:type="dcterms:W3CDTF">2021-03-24T12:04:51Z</dcterms:modified>
</cp:coreProperties>
</file>