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uyufei/Desktop/"/>
    </mc:Choice>
  </mc:AlternateContent>
  <xr:revisionPtr revIDLastSave="0" documentId="13_ncr:1_{C1BE4CF8-A211-074B-BE81-C07D1AD907D1}" xr6:coauthVersionLast="46" xr6:coauthVersionMax="46" xr10:uidLastSave="{00000000-0000-0000-0000-000000000000}"/>
  <bookViews>
    <workbookView xWindow="680" yWindow="1000" windowWidth="27840" windowHeight="15520" xr2:uid="{F846E587-7ED1-5040-8675-F2078053B048}"/>
  </bookViews>
  <sheets>
    <sheet name="使用说明" sheetId="2" r:id="rId1"/>
    <sheet name="海底捞model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94" i="1" l="1"/>
  <c r="AB494" i="1"/>
  <c r="Z494" i="1"/>
  <c r="K494" i="1"/>
  <c r="J494" i="1"/>
  <c r="H494" i="1"/>
  <c r="G494" i="1"/>
  <c r="AD493" i="1"/>
  <c r="AB493" i="1"/>
  <c r="Z493" i="1"/>
  <c r="K493" i="1"/>
  <c r="J493" i="1"/>
  <c r="H493" i="1"/>
  <c r="G493" i="1"/>
  <c r="AD492" i="1"/>
  <c r="AB492" i="1"/>
  <c r="Z492" i="1"/>
  <c r="K492" i="1"/>
  <c r="J492" i="1"/>
  <c r="H492" i="1"/>
  <c r="G492" i="1"/>
  <c r="AD491" i="1"/>
  <c r="AB491" i="1"/>
  <c r="Z491" i="1"/>
  <c r="K491" i="1"/>
  <c r="J491" i="1"/>
  <c r="H491" i="1"/>
  <c r="G491" i="1"/>
  <c r="AD488" i="1"/>
  <c r="AB488" i="1"/>
  <c r="Z488" i="1"/>
  <c r="J488" i="1"/>
  <c r="I488" i="1"/>
  <c r="H488" i="1"/>
  <c r="G488" i="1"/>
  <c r="AD487" i="1"/>
  <c r="AB487" i="1"/>
  <c r="Z487" i="1"/>
  <c r="J487" i="1"/>
  <c r="I487" i="1"/>
  <c r="H487" i="1"/>
  <c r="G487" i="1"/>
  <c r="AD486" i="1"/>
  <c r="AB486" i="1"/>
  <c r="Z486" i="1"/>
  <c r="J486" i="1"/>
  <c r="I486" i="1"/>
  <c r="H486" i="1"/>
  <c r="G486" i="1"/>
  <c r="AD485" i="1"/>
  <c r="AB485" i="1"/>
  <c r="Z485" i="1"/>
  <c r="J485" i="1"/>
  <c r="I485" i="1"/>
  <c r="H485" i="1"/>
  <c r="G485" i="1"/>
  <c r="Z484" i="1"/>
  <c r="J484" i="1"/>
  <c r="K475" i="1"/>
  <c r="K463" i="1" s="1"/>
  <c r="J475" i="1"/>
  <c r="I475" i="1"/>
  <c r="H475" i="1"/>
  <c r="G475" i="1"/>
  <c r="K474" i="1"/>
  <c r="J474" i="1"/>
  <c r="I474" i="1"/>
  <c r="H474" i="1"/>
  <c r="G474" i="1"/>
  <c r="K473" i="1"/>
  <c r="J473" i="1"/>
  <c r="I473" i="1"/>
  <c r="H473" i="1"/>
  <c r="G473" i="1"/>
  <c r="K472" i="1"/>
  <c r="J472" i="1"/>
  <c r="I472" i="1"/>
  <c r="H472" i="1"/>
  <c r="G472" i="1"/>
  <c r="K471" i="1"/>
  <c r="H471" i="1"/>
  <c r="G471" i="1"/>
  <c r="K462" i="1"/>
  <c r="K461" i="1"/>
  <c r="K460" i="1"/>
  <c r="K459" i="1" s="1"/>
  <c r="K465" i="1" s="1"/>
  <c r="AB459" i="1"/>
  <c r="AB484" i="1" s="1"/>
  <c r="Z459" i="1"/>
  <c r="J459" i="1"/>
  <c r="I459" i="1"/>
  <c r="H459" i="1"/>
  <c r="H465" i="1" s="1"/>
  <c r="G459" i="1"/>
  <c r="K450" i="1"/>
  <c r="K438" i="1" s="1"/>
  <c r="K488" i="1" s="1"/>
  <c r="J450" i="1"/>
  <c r="I450" i="1"/>
  <c r="H450" i="1"/>
  <c r="G450" i="1"/>
  <c r="K449" i="1"/>
  <c r="J449" i="1"/>
  <c r="I449" i="1"/>
  <c r="H449" i="1"/>
  <c r="H446" i="1" s="1"/>
  <c r="G449" i="1"/>
  <c r="K448" i="1"/>
  <c r="J448" i="1"/>
  <c r="I448" i="1"/>
  <c r="H448" i="1"/>
  <c r="G448" i="1"/>
  <c r="K447" i="1"/>
  <c r="J447" i="1"/>
  <c r="J446" i="1" s="1"/>
  <c r="I447" i="1"/>
  <c r="I446" i="1" s="1"/>
  <c r="H447" i="1"/>
  <c r="G447" i="1"/>
  <c r="G446" i="1" s="1"/>
  <c r="J440" i="1"/>
  <c r="I440" i="1"/>
  <c r="K437" i="1"/>
  <c r="K487" i="1" s="1"/>
  <c r="K436" i="1"/>
  <c r="K486" i="1" s="1"/>
  <c r="AB434" i="1"/>
  <c r="Z434" i="1"/>
  <c r="J434" i="1"/>
  <c r="I434" i="1"/>
  <c r="I484" i="1" s="1"/>
  <c r="H434" i="1"/>
  <c r="G434" i="1"/>
  <c r="K431" i="1"/>
  <c r="J431" i="1"/>
  <c r="I431" i="1"/>
  <c r="H431" i="1"/>
  <c r="G431" i="1"/>
  <c r="K430" i="1"/>
  <c r="J430" i="1"/>
  <c r="I430" i="1"/>
  <c r="H430" i="1"/>
  <c r="G430" i="1"/>
  <c r="K429" i="1"/>
  <c r="J429" i="1"/>
  <c r="I429" i="1"/>
  <c r="H429" i="1"/>
  <c r="G429" i="1"/>
  <c r="K428" i="1"/>
  <c r="J428" i="1"/>
  <c r="I428" i="1"/>
  <c r="H428" i="1"/>
  <c r="G428" i="1"/>
  <c r="J427" i="1"/>
  <c r="AD421" i="1"/>
  <c r="AB421" i="1"/>
  <c r="Z421" i="1"/>
  <c r="K421" i="1"/>
  <c r="J421" i="1"/>
  <c r="I421" i="1"/>
  <c r="H421" i="1"/>
  <c r="G421" i="1"/>
  <c r="G427" i="1" s="1"/>
  <c r="Z416" i="1"/>
  <c r="Y416" i="1"/>
  <c r="X416" i="1"/>
  <c r="H416" i="1"/>
  <c r="G416" i="1"/>
  <c r="F416" i="1"/>
  <c r="Z415" i="1"/>
  <c r="Y415" i="1"/>
  <c r="X415" i="1"/>
  <c r="H415" i="1"/>
  <c r="G415" i="1"/>
  <c r="F415" i="1"/>
  <c r="Z414" i="1"/>
  <c r="Y414" i="1"/>
  <c r="X414" i="1"/>
  <c r="H414" i="1"/>
  <c r="G414" i="1"/>
  <c r="F414" i="1"/>
  <c r="Z413" i="1"/>
  <c r="X413" i="1"/>
  <c r="H413" i="1"/>
  <c r="G413" i="1"/>
  <c r="F413" i="1"/>
  <c r="Z412" i="1"/>
  <c r="Y410" i="1"/>
  <c r="Y409" i="1"/>
  <c r="Y408" i="1"/>
  <c r="Y407" i="1"/>
  <c r="Z406" i="1"/>
  <c r="X406" i="1"/>
  <c r="J406" i="1"/>
  <c r="H406" i="1"/>
  <c r="H412" i="1" s="1"/>
  <c r="G406" i="1"/>
  <c r="F406" i="1"/>
  <c r="F412" i="1" s="1"/>
  <c r="AB403" i="1"/>
  <c r="F403" i="1"/>
  <c r="AB401" i="1"/>
  <c r="K401" i="1"/>
  <c r="J401" i="1"/>
  <c r="J403" i="1" s="1"/>
  <c r="F401" i="1"/>
  <c r="AB399" i="1"/>
  <c r="N399" i="1"/>
  <c r="O399" i="1" s="1"/>
  <c r="M399" i="1"/>
  <c r="K399" i="1"/>
  <c r="L399" i="1" s="1"/>
  <c r="J399" i="1"/>
  <c r="F399" i="1"/>
  <c r="AE398" i="1"/>
  <c r="AC398" i="1"/>
  <c r="AA398" i="1"/>
  <c r="Y398" i="1"/>
  <c r="AE396" i="1"/>
  <c r="AC396" i="1"/>
  <c r="AA396" i="1"/>
  <c r="Y396" i="1"/>
  <c r="AE395" i="1"/>
  <c r="AC395" i="1"/>
  <c r="AA395" i="1"/>
  <c r="Y395" i="1"/>
  <c r="AE394" i="1"/>
  <c r="AC394" i="1"/>
  <c r="AC368" i="1" s="1"/>
  <c r="AA394" i="1"/>
  <c r="Y394" i="1"/>
  <c r="AE393" i="1"/>
  <c r="AE367" i="1" s="1"/>
  <c r="AC393" i="1"/>
  <c r="AA393" i="1"/>
  <c r="Y393" i="1"/>
  <c r="H392" i="1"/>
  <c r="G392" i="1"/>
  <c r="AE391" i="1"/>
  <c r="AD391" i="1"/>
  <c r="AB391" i="1"/>
  <c r="Z391" i="1"/>
  <c r="Z392" i="1" s="1"/>
  <c r="X391" i="1"/>
  <c r="K391" i="1"/>
  <c r="J391" i="1"/>
  <c r="K392" i="1" s="1"/>
  <c r="I391" i="1"/>
  <c r="H391" i="1"/>
  <c r="G391" i="1"/>
  <c r="F391" i="1"/>
  <c r="G389" i="1"/>
  <c r="H388" i="1"/>
  <c r="G388" i="1"/>
  <c r="Z387" i="1"/>
  <c r="Z386" i="1"/>
  <c r="Z383" i="1"/>
  <c r="Z389" i="1" s="1"/>
  <c r="X383" i="1"/>
  <c r="H383" i="1"/>
  <c r="H389" i="1" s="1"/>
  <c r="G383" i="1"/>
  <c r="F383" i="1"/>
  <c r="Z382" i="1"/>
  <c r="X382" i="1"/>
  <c r="Z388" i="1" s="1"/>
  <c r="H382" i="1"/>
  <c r="G382" i="1"/>
  <c r="F382" i="1"/>
  <c r="Z381" i="1"/>
  <c r="X381" i="1"/>
  <c r="H381" i="1"/>
  <c r="G381" i="1"/>
  <c r="G387" i="1" s="1"/>
  <c r="F381" i="1"/>
  <c r="Z380" i="1"/>
  <c r="X380" i="1"/>
  <c r="H380" i="1"/>
  <c r="H386" i="1" s="1"/>
  <c r="G380" i="1"/>
  <c r="F380" i="1"/>
  <c r="G386" i="1" s="1"/>
  <c r="M377" i="1"/>
  <c r="N377" i="1" s="1"/>
  <c r="O377" i="1" s="1"/>
  <c r="P377" i="1" s="1"/>
  <c r="Q377" i="1" s="1"/>
  <c r="R377" i="1" s="1"/>
  <c r="S377" i="1" s="1"/>
  <c r="T377" i="1" s="1"/>
  <c r="U377" i="1" s="1"/>
  <c r="O376" i="1"/>
  <c r="P376" i="1" s="1"/>
  <c r="Q376" i="1" s="1"/>
  <c r="R376" i="1" s="1"/>
  <c r="S376" i="1" s="1"/>
  <c r="T376" i="1" s="1"/>
  <c r="U376" i="1" s="1"/>
  <c r="N376" i="1"/>
  <c r="M376" i="1"/>
  <c r="N375" i="1"/>
  <c r="O375" i="1" s="1"/>
  <c r="P375" i="1" s="1"/>
  <c r="Q375" i="1" s="1"/>
  <c r="R375" i="1" s="1"/>
  <c r="S375" i="1" s="1"/>
  <c r="T375" i="1" s="1"/>
  <c r="U375" i="1" s="1"/>
  <c r="M375" i="1"/>
  <c r="N374" i="1"/>
  <c r="O374" i="1" s="1"/>
  <c r="P374" i="1" s="1"/>
  <c r="Q374" i="1" s="1"/>
  <c r="R374" i="1" s="1"/>
  <c r="S374" i="1" s="1"/>
  <c r="T374" i="1" s="1"/>
  <c r="U374" i="1" s="1"/>
  <c r="AE370" i="1"/>
  <c r="AB370" i="1"/>
  <c r="AA370" i="1"/>
  <c r="AE369" i="1"/>
  <c r="J369" i="1"/>
  <c r="AE368" i="1"/>
  <c r="AD368" i="1"/>
  <c r="AB368" i="1"/>
  <c r="J368" i="1"/>
  <c r="AB367" i="1"/>
  <c r="AA367" i="1"/>
  <c r="AB364" i="1"/>
  <c r="AA364" i="1"/>
  <c r="AE363" i="1"/>
  <c r="AC363" i="1"/>
  <c r="AE362" i="1"/>
  <c r="AD362" i="1"/>
  <c r="AB362" i="1"/>
  <c r="AA362" i="1"/>
  <c r="K362" i="1"/>
  <c r="J362" i="1"/>
  <c r="AB361" i="1"/>
  <c r="AA361" i="1"/>
  <c r="AA360" i="1"/>
  <c r="AE358" i="1"/>
  <c r="AE364" i="1" s="1"/>
  <c r="AD358" i="1"/>
  <c r="AC358" i="1"/>
  <c r="AB358" i="1"/>
  <c r="AA358" i="1"/>
  <c r="X358" i="1"/>
  <c r="X364" i="1" s="1"/>
  <c r="F358" i="1"/>
  <c r="AE357" i="1"/>
  <c r="AD357" i="1"/>
  <c r="AC357" i="1"/>
  <c r="J357" i="1" s="1"/>
  <c r="J363" i="1" s="1"/>
  <c r="AB357" i="1"/>
  <c r="AB369" i="1" s="1"/>
  <c r="AA357" i="1"/>
  <c r="AA369" i="1" s="1"/>
  <c r="X357" i="1"/>
  <c r="F357" i="1"/>
  <c r="F363" i="1" s="1"/>
  <c r="AE356" i="1"/>
  <c r="AD356" i="1"/>
  <c r="AC356" i="1"/>
  <c r="J356" i="1" s="1"/>
  <c r="AB356" i="1"/>
  <c r="AA356" i="1"/>
  <c r="X356" i="1"/>
  <c r="X354" i="1" s="1"/>
  <c r="X360" i="1" s="1"/>
  <c r="K356" i="1"/>
  <c r="K368" i="1" s="1"/>
  <c r="F356" i="1"/>
  <c r="AE355" i="1"/>
  <c r="AE361" i="1" s="1"/>
  <c r="AD355" i="1"/>
  <c r="AC355" i="1"/>
  <c r="AB355" i="1"/>
  <c r="AA355" i="1"/>
  <c r="X355" i="1"/>
  <c r="F355" i="1"/>
  <c r="AE354" i="1"/>
  <c r="AB354" i="1"/>
  <c r="AA354" i="1"/>
  <c r="AD349" i="1"/>
  <c r="AD380" i="1" s="1"/>
  <c r="J346" i="1"/>
  <c r="I346" i="1"/>
  <c r="J345" i="1"/>
  <c r="I334" i="1"/>
  <c r="K333" i="1"/>
  <c r="G333" i="1"/>
  <c r="AE330" i="1"/>
  <c r="AD330" i="1"/>
  <c r="AD352" i="1" s="1"/>
  <c r="AD383" i="1" s="1"/>
  <c r="AC330" i="1"/>
  <c r="AB330" i="1"/>
  <c r="Z330" i="1"/>
  <c r="X330" i="1"/>
  <c r="K330" i="1"/>
  <c r="J330" i="1"/>
  <c r="I330" i="1"/>
  <c r="H330" i="1"/>
  <c r="G330" i="1"/>
  <c r="F330" i="1"/>
  <c r="AD329" i="1"/>
  <c r="AB329" i="1"/>
  <c r="Z329" i="1"/>
  <c r="Z357" i="1" s="1"/>
  <c r="X329" i="1"/>
  <c r="K329" i="1"/>
  <c r="J329" i="1"/>
  <c r="J351" i="1" s="1"/>
  <c r="J382" i="1" s="1"/>
  <c r="I329" i="1"/>
  <c r="H329" i="1"/>
  <c r="Y329" i="1" s="1"/>
  <c r="G329" i="1"/>
  <c r="F329" i="1"/>
  <c r="AE328" i="1"/>
  <c r="AD328" i="1"/>
  <c r="AD350" i="1" s="1"/>
  <c r="AD381" i="1" s="1"/>
  <c r="AB328" i="1"/>
  <c r="Z328" i="1"/>
  <c r="X328" i="1"/>
  <c r="K328" i="1"/>
  <c r="K350" i="1" s="1"/>
  <c r="K381" i="1" s="1"/>
  <c r="J328" i="1"/>
  <c r="I328" i="1"/>
  <c r="H328" i="1"/>
  <c r="G328" i="1"/>
  <c r="F328" i="1"/>
  <c r="AE327" i="1"/>
  <c r="AD327" i="1"/>
  <c r="AB327" i="1"/>
  <c r="AA327" i="1"/>
  <c r="Z327" i="1"/>
  <c r="X327" i="1"/>
  <c r="K327" i="1"/>
  <c r="J327" i="1"/>
  <c r="I327" i="1"/>
  <c r="I345" i="1" s="1"/>
  <c r="H327" i="1"/>
  <c r="I333" i="1" s="1"/>
  <c r="G327" i="1"/>
  <c r="G355" i="1" s="1"/>
  <c r="F327" i="1"/>
  <c r="AD326" i="1"/>
  <c r="X326" i="1"/>
  <c r="J326" i="1"/>
  <c r="J341" i="1" s="1"/>
  <c r="I326" i="1"/>
  <c r="H326" i="1"/>
  <c r="H314" i="1" s="1"/>
  <c r="G326" i="1"/>
  <c r="F326" i="1"/>
  <c r="AD324" i="1"/>
  <c r="AB324" i="1"/>
  <c r="Z324" i="1"/>
  <c r="K324" i="1"/>
  <c r="J324" i="1"/>
  <c r="I324" i="1"/>
  <c r="H324" i="1"/>
  <c r="G324" i="1"/>
  <c r="AD323" i="1"/>
  <c r="AB323" i="1"/>
  <c r="Z323" i="1"/>
  <c r="K323" i="1"/>
  <c r="J323" i="1"/>
  <c r="I323" i="1"/>
  <c r="H323" i="1"/>
  <c r="G323" i="1"/>
  <c r="AD322" i="1"/>
  <c r="AB322" i="1"/>
  <c r="Z322" i="1"/>
  <c r="K322" i="1"/>
  <c r="J322" i="1"/>
  <c r="I322" i="1"/>
  <c r="H322" i="1"/>
  <c r="G322" i="1"/>
  <c r="AD321" i="1"/>
  <c r="AB321" i="1"/>
  <c r="Z321" i="1"/>
  <c r="K321" i="1"/>
  <c r="J321" i="1"/>
  <c r="I321" i="1"/>
  <c r="H321" i="1"/>
  <c r="G321" i="1"/>
  <c r="L318" i="1"/>
  <c r="L317" i="1"/>
  <c r="M316" i="1"/>
  <c r="L316" i="1"/>
  <c r="AA315" i="1"/>
  <c r="M315" i="1"/>
  <c r="L315" i="1"/>
  <c r="X314" i="1"/>
  <c r="I314" i="1"/>
  <c r="F314" i="1"/>
  <c r="AC312" i="1"/>
  <c r="J312" i="1"/>
  <c r="K297" i="1" s="1"/>
  <c r="H312" i="1"/>
  <c r="G312" i="1"/>
  <c r="F312" i="1"/>
  <c r="AE305" i="1"/>
  <c r="AD305" i="1"/>
  <c r="AC305" i="1"/>
  <c r="AB305" i="1"/>
  <c r="AA305" i="1"/>
  <c r="Z305" i="1"/>
  <c r="K305" i="1"/>
  <c r="J305" i="1"/>
  <c r="I305" i="1"/>
  <c r="H305" i="1"/>
  <c r="G305" i="1"/>
  <c r="AE304" i="1"/>
  <c r="AD304" i="1"/>
  <c r="AC304" i="1"/>
  <c r="AB304" i="1"/>
  <c r="AA304" i="1"/>
  <c r="Z304" i="1"/>
  <c r="Z310" i="1" s="1"/>
  <c r="K304" i="1"/>
  <c r="J304" i="1"/>
  <c r="I304" i="1"/>
  <c r="H304" i="1"/>
  <c r="G304" i="1"/>
  <c r="AE303" i="1"/>
  <c r="AD303" i="1"/>
  <c r="AC303" i="1"/>
  <c r="AB303" i="1"/>
  <c r="AA303" i="1"/>
  <c r="Z303" i="1"/>
  <c r="U303" i="1"/>
  <c r="R303" i="1"/>
  <c r="Q303" i="1"/>
  <c r="P303" i="1"/>
  <c r="O303" i="1"/>
  <c r="M303" i="1"/>
  <c r="K303" i="1"/>
  <c r="J303" i="1"/>
  <c r="I303" i="1"/>
  <c r="H303" i="1"/>
  <c r="G303" i="1"/>
  <c r="AE302" i="1"/>
  <c r="AD302" i="1"/>
  <c r="AC302" i="1"/>
  <c r="AB302" i="1"/>
  <c r="AA302" i="1"/>
  <c r="Z302" i="1"/>
  <c r="K302" i="1"/>
  <c r="J302" i="1"/>
  <c r="I302" i="1"/>
  <c r="H302" i="1"/>
  <c r="G302" i="1"/>
  <c r="Z301" i="1"/>
  <c r="Z309" i="1" s="1"/>
  <c r="U301" i="1"/>
  <c r="T301" i="1"/>
  <c r="S301" i="1"/>
  <c r="R301" i="1"/>
  <c r="Q301" i="1"/>
  <c r="P301" i="1"/>
  <c r="O301" i="1"/>
  <c r="N301" i="1"/>
  <c r="M301" i="1"/>
  <c r="L301" i="1"/>
  <c r="K299" i="1"/>
  <c r="F299" i="1"/>
  <c r="AE298" i="1"/>
  <c r="AC298" i="1"/>
  <c r="AA298" i="1"/>
  <c r="J295" i="1"/>
  <c r="H295" i="1"/>
  <c r="G295" i="1"/>
  <c r="J294" i="1"/>
  <c r="G294" i="1"/>
  <c r="J293" i="1"/>
  <c r="J292" i="1"/>
  <c r="G292" i="1"/>
  <c r="AE289" i="1"/>
  <c r="AD289" i="1"/>
  <c r="AC289" i="1"/>
  <c r="AB289" i="1"/>
  <c r="AA289" i="1"/>
  <c r="Z289" i="1"/>
  <c r="K289" i="1"/>
  <c r="J289" i="1"/>
  <c r="I289" i="1"/>
  <c r="H289" i="1"/>
  <c r="G289" i="1"/>
  <c r="AE288" i="1"/>
  <c r="AD288" i="1"/>
  <c r="AC288" i="1"/>
  <c r="AB288" i="1"/>
  <c r="AA288" i="1"/>
  <c r="Z288" i="1"/>
  <c r="K288" i="1"/>
  <c r="J288" i="1"/>
  <c r="I288" i="1"/>
  <c r="H288" i="1"/>
  <c r="G288" i="1"/>
  <c r="AE287" i="1"/>
  <c r="AD287" i="1"/>
  <c r="AC287" i="1"/>
  <c r="AB287" i="1"/>
  <c r="AA287" i="1"/>
  <c r="Z287" i="1"/>
  <c r="K287" i="1"/>
  <c r="J287" i="1"/>
  <c r="I287" i="1"/>
  <c r="H287" i="1"/>
  <c r="G287" i="1"/>
  <c r="AE286" i="1"/>
  <c r="AD286" i="1"/>
  <c r="AC286" i="1"/>
  <c r="AB286" i="1"/>
  <c r="AA286" i="1"/>
  <c r="Z286" i="1"/>
  <c r="K286" i="1"/>
  <c r="J286" i="1"/>
  <c r="I286" i="1"/>
  <c r="H286" i="1"/>
  <c r="G286" i="1"/>
  <c r="AC285" i="1"/>
  <c r="H285" i="1"/>
  <c r="AE279" i="1"/>
  <c r="AE312" i="1" s="1"/>
  <c r="AD279" i="1"/>
  <c r="AD312" i="1" s="1"/>
  <c r="AC279" i="1"/>
  <c r="AB279" i="1"/>
  <c r="AA279" i="1"/>
  <c r="Z279" i="1"/>
  <c r="Z312" i="1" s="1"/>
  <c r="Y279" i="1"/>
  <c r="Y312" i="1" s="1"/>
  <c r="Z297" i="1" s="1"/>
  <c r="X279" i="1"/>
  <c r="K279" i="1"/>
  <c r="J279" i="1"/>
  <c r="I279" i="1"/>
  <c r="I285" i="1" s="1"/>
  <c r="H279" i="1"/>
  <c r="G279" i="1"/>
  <c r="F279" i="1"/>
  <c r="I276" i="1"/>
  <c r="H276" i="1"/>
  <c r="K275" i="1"/>
  <c r="L275" i="1" s="1"/>
  <c r="M275" i="1" s="1"/>
  <c r="N275" i="1" s="1"/>
  <c r="O275" i="1" s="1"/>
  <c r="P275" i="1" s="1"/>
  <c r="Q275" i="1" s="1"/>
  <c r="R275" i="1" s="1"/>
  <c r="S275" i="1" s="1"/>
  <c r="T275" i="1" s="1"/>
  <c r="U275" i="1" s="1"/>
  <c r="J275" i="1"/>
  <c r="I275" i="1"/>
  <c r="J276" i="1" s="1"/>
  <c r="H275" i="1"/>
  <c r="G275" i="1"/>
  <c r="F275" i="1"/>
  <c r="F346" i="1" s="1"/>
  <c r="I274" i="1"/>
  <c r="G274" i="1"/>
  <c r="N273" i="1"/>
  <c r="O273" i="1" s="1"/>
  <c r="P273" i="1" s="1"/>
  <c r="Q273" i="1" s="1"/>
  <c r="R273" i="1" s="1"/>
  <c r="S273" i="1" s="1"/>
  <c r="T273" i="1" s="1"/>
  <c r="U273" i="1" s="1"/>
  <c r="M273" i="1"/>
  <c r="L273" i="1"/>
  <c r="K273" i="1"/>
  <c r="J273" i="1"/>
  <c r="J274" i="1" s="1"/>
  <c r="I273" i="1"/>
  <c r="H273" i="1"/>
  <c r="G273" i="1"/>
  <c r="G345" i="1" s="1"/>
  <c r="F273" i="1"/>
  <c r="F345" i="1" s="1"/>
  <c r="AD262" i="1"/>
  <c r="G262" i="1"/>
  <c r="AD261" i="1"/>
  <c r="AB261" i="1"/>
  <c r="AB262" i="1" s="1"/>
  <c r="AA261" i="1"/>
  <c r="Z261" i="1"/>
  <c r="Z262" i="1" s="1"/>
  <c r="X261" i="1"/>
  <c r="X262" i="1" s="1"/>
  <c r="H261" i="1"/>
  <c r="H262" i="1" s="1"/>
  <c r="F261" i="1"/>
  <c r="F262" i="1" s="1"/>
  <c r="H259" i="1"/>
  <c r="G259" i="1"/>
  <c r="F259" i="1"/>
  <c r="AD258" i="1"/>
  <c r="AC258" i="1"/>
  <c r="AD257" i="1" s="1"/>
  <c r="AD259" i="1" s="1"/>
  <c r="AB258" i="1"/>
  <c r="AC257" i="1" s="1"/>
  <c r="AA258" i="1"/>
  <c r="AA259" i="1" s="1"/>
  <c r="Z258" i="1"/>
  <c r="Y258" i="1"/>
  <c r="J258" i="1"/>
  <c r="I258" i="1"/>
  <c r="H258" i="1"/>
  <c r="G258" i="1"/>
  <c r="F258" i="1"/>
  <c r="AB257" i="1"/>
  <c r="AB259" i="1" s="1"/>
  <c r="AA257" i="1"/>
  <c r="Z257" i="1"/>
  <c r="I257" i="1"/>
  <c r="H257" i="1"/>
  <c r="G257" i="1"/>
  <c r="AC256" i="1"/>
  <c r="AA256" i="1"/>
  <c r="Y256" i="1"/>
  <c r="AC255" i="1"/>
  <c r="AA255" i="1"/>
  <c r="Y255" i="1"/>
  <c r="AD254" i="1"/>
  <c r="AB254" i="1"/>
  <c r="Z254" i="1"/>
  <c r="Y254" i="1"/>
  <c r="X254" i="1"/>
  <c r="J254" i="1"/>
  <c r="I254" i="1"/>
  <c r="H254" i="1"/>
  <c r="G254" i="1"/>
  <c r="F254" i="1"/>
  <c r="AB252" i="1"/>
  <c r="K252" i="1"/>
  <c r="H252" i="1"/>
  <c r="G252" i="1"/>
  <c r="F252" i="1"/>
  <c r="AC251" i="1"/>
  <c r="Y251" i="1"/>
  <c r="I251" i="1"/>
  <c r="AA251" i="1" s="1"/>
  <c r="AC250" i="1"/>
  <c r="AA250" i="1"/>
  <c r="Y250" i="1"/>
  <c r="AC249" i="1"/>
  <c r="AA249" i="1"/>
  <c r="Y249" i="1"/>
  <c r="AC248" i="1"/>
  <c r="Z248" i="1"/>
  <c r="Y248" i="1"/>
  <c r="X248" i="1"/>
  <c r="I248" i="1"/>
  <c r="H248" i="1"/>
  <c r="AB247" i="1"/>
  <c r="AA247" i="1"/>
  <c r="Z247" i="1"/>
  <c r="Z252" i="1" s="1"/>
  <c r="J247" i="1"/>
  <c r="J252" i="1" s="1"/>
  <c r="I247" i="1"/>
  <c r="H247" i="1"/>
  <c r="G247" i="1"/>
  <c r="F247" i="1"/>
  <c r="AC246" i="1"/>
  <c r="AA246" i="1"/>
  <c r="AA254" i="1" s="1"/>
  <c r="Y246" i="1"/>
  <c r="AD244" i="1"/>
  <c r="Z244" i="1"/>
  <c r="U244" i="1"/>
  <c r="T244" i="1"/>
  <c r="S244" i="1"/>
  <c r="R244" i="1"/>
  <c r="Q244" i="1"/>
  <c r="P244" i="1"/>
  <c r="O244" i="1"/>
  <c r="N244" i="1"/>
  <c r="M244" i="1"/>
  <c r="L244" i="1"/>
  <c r="J244" i="1"/>
  <c r="I244" i="1"/>
  <c r="G244" i="1"/>
  <c r="F244" i="1"/>
  <c r="AD243" i="1"/>
  <c r="AC243" i="1"/>
  <c r="AB243" i="1"/>
  <c r="AB244" i="1" s="1"/>
  <c r="AA243" i="1"/>
  <c r="Z243" i="1"/>
  <c r="J243" i="1"/>
  <c r="I243" i="1"/>
  <c r="H243" i="1"/>
  <c r="H244" i="1" s="1"/>
  <c r="G243" i="1"/>
  <c r="AC242" i="1"/>
  <c r="AA242" i="1"/>
  <c r="Y242" i="1"/>
  <c r="AC241" i="1"/>
  <c r="AA241" i="1"/>
  <c r="Y241" i="1"/>
  <c r="K241" i="1"/>
  <c r="AC240" i="1"/>
  <c r="AA240" i="1"/>
  <c r="Y240" i="1"/>
  <c r="AC239" i="1"/>
  <c r="AA239" i="1"/>
  <c r="AA244" i="1" s="1"/>
  <c r="Y239" i="1"/>
  <c r="J236" i="1"/>
  <c r="J261" i="1" s="1"/>
  <c r="J262" i="1" s="1"/>
  <c r="I236" i="1"/>
  <c r="I261" i="1" s="1"/>
  <c r="I262" i="1" s="1"/>
  <c r="H236" i="1"/>
  <c r="G236" i="1"/>
  <c r="G261" i="1" s="1"/>
  <c r="F236" i="1"/>
  <c r="Z233" i="1"/>
  <c r="H233" i="1"/>
  <c r="G233" i="1"/>
  <c r="F233" i="1"/>
  <c r="AC231" i="1"/>
  <c r="AA231" i="1"/>
  <c r="Y231" i="1"/>
  <c r="AC230" i="1"/>
  <c r="AA230" i="1"/>
  <c r="Y230" i="1"/>
  <c r="AC229" i="1"/>
  <c r="AA229" i="1"/>
  <c r="Y229" i="1"/>
  <c r="AC227" i="1"/>
  <c r="AA227" i="1"/>
  <c r="Y227" i="1"/>
  <c r="I220" i="1"/>
  <c r="L219" i="1"/>
  <c r="K219" i="1"/>
  <c r="I219" i="1"/>
  <c r="F219" i="1"/>
  <c r="M218" i="1"/>
  <c r="I218" i="1"/>
  <c r="K217" i="1"/>
  <c r="L217" i="1" s="1"/>
  <c r="M217" i="1" s="1"/>
  <c r="N217" i="1" s="1"/>
  <c r="I217" i="1"/>
  <c r="G217" i="1"/>
  <c r="F217" i="1"/>
  <c r="L216" i="1"/>
  <c r="M216" i="1" s="1"/>
  <c r="N216" i="1" s="1"/>
  <c r="I216" i="1"/>
  <c r="H216" i="1"/>
  <c r="J215" i="1"/>
  <c r="I215" i="1"/>
  <c r="H215" i="1"/>
  <c r="J214" i="1"/>
  <c r="I214" i="1"/>
  <c r="H214" i="1"/>
  <c r="G214" i="1"/>
  <c r="F214" i="1"/>
  <c r="J213" i="1"/>
  <c r="I213" i="1"/>
  <c r="H213" i="1"/>
  <c r="G213" i="1"/>
  <c r="F213" i="1"/>
  <c r="G212" i="1"/>
  <c r="AE210" i="1"/>
  <c r="AD210" i="1"/>
  <c r="AC210" i="1"/>
  <c r="AC203" i="1" s="1"/>
  <c r="AB210" i="1"/>
  <c r="AA210" i="1"/>
  <c r="Z210" i="1"/>
  <c r="Y210" i="1"/>
  <c r="X210" i="1"/>
  <c r="K210" i="1"/>
  <c r="J210" i="1"/>
  <c r="I210" i="1"/>
  <c r="H210" i="1"/>
  <c r="G210" i="1"/>
  <c r="F210" i="1"/>
  <c r="AE209" i="1"/>
  <c r="AD209" i="1"/>
  <c r="AC209" i="1"/>
  <c r="AB209" i="1"/>
  <c r="AA209" i="1"/>
  <c r="Z209" i="1"/>
  <c r="Y209" i="1"/>
  <c r="X209" i="1"/>
  <c r="K209" i="1"/>
  <c r="J209" i="1"/>
  <c r="J219" i="1" s="1"/>
  <c r="I209" i="1"/>
  <c r="H209" i="1"/>
  <c r="H219" i="1" s="1"/>
  <c r="G209" i="1"/>
  <c r="G219" i="1" s="1"/>
  <c r="F209" i="1"/>
  <c r="I208" i="1"/>
  <c r="H208" i="1"/>
  <c r="H218" i="1" s="1"/>
  <c r="G208" i="1"/>
  <c r="G218" i="1" s="1"/>
  <c r="F208" i="1"/>
  <c r="F218" i="1" s="1"/>
  <c r="AE207" i="1"/>
  <c r="AD207" i="1"/>
  <c r="AB207" i="1"/>
  <c r="AA207" i="1"/>
  <c r="Z207" i="1"/>
  <c r="Y207" i="1"/>
  <c r="X207" i="1"/>
  <c r="K207" i="1"/>
  <c r="J207" i="1"/>
  <c r="J217" i="1" s="1"/>
  <c r="I207" i="1"/>
  <c r="H207" i="1"/>
  <c r="H217" i="1" s="1"/>
  <c r="G207" i="1"/>
  <c r="F207" i="1"/>
  <c r="AE206" i="1"/>
  <c r="AD206" i="1"/>
  <c r="AC206" i="1"/>
  <c r="AB206" i="1"/>
  <c r="AA206" i="1"/>
  <c r="Z206" i="1"/>
  <c r="Y206" i="1"/>
  <c r="X206" i="1"/>
  <c r="K206" i="1"/>
  <c r="J206" i="1"/>
  <c r="I206" i="1"/>
  <c r="H206" i="1"/>
  <c r="G206" i="1"/>
  <c r="F206" i="1"/>
  <c r="AE205" i="1"/>
  <c r="AD205" i="1"/>
  <c r="AC205" i="1"/>
  <c r="AB205" i="1"/>
  <c r="AA205" i="1"/>
  <c r="Z205" i="1"/>
  <c r="Y205" i="1"/>
  <c r="X205" i="1"/>
  <c r="X203" i="1" s="1"/>
  <c r="K205" i="1"/>
  <c r="K216" i="1" s="1"/>
  <c r="J205" i="1"/>
  <c r="J216" i="1" s="1"/>
  <c r="I205" i="1"/>
  <c r="H205" i="1"/>
  <c r="G205" i="1"/>
  <c r="G216" i="1" s="1"/>
  <c r="F205" i="1"/>
  <c r="F216" i="1" s="1"/>
  <c r="AE204" i="1"/>
  <c r="AE203" i="1" s="1"/>
  <c r="AD204" i="1"/>
  <c r="AD203" i="1" s="1"/>
  <c r="AD232" i="1" s="1"/>
  <c r="AC204" i="1"/>
  <c r="AB204" i="1"/>
  <c r="AB203" i="1" s="1"/>
  <c r="AB232" i="1" s="1"/>
  <c r="AA204" i="1"/>
  <c r="Z204" i="1"/>
  <c r="Y204" i="1"/>
  <c r="X204" i="1"/>
  <c r="K204" i="1"/>
  <c r="J204" i="1"/>
  <c r="I204" i="1"/>
  <c r="I212" i="1" s="1"/>
  <c r="H204" i="1"/>
  <c r="H212" i="1" s="1"/>
  <c r="G204" i="1"/>
  <c r="F204" i="1"/>
  <c r="AA203" i="1"/>
  <c r="Z203" i="1"/>
  <c r="I203" i="1"/>
  <c r="G203" i="1"/>
  <c r="AE198" i="1"/>
  <c r="AA198" i="1"/>
  <c r="Z198" i="1"/>
  <c r="X198" i="1"/>
  <c r="K198" i="1"/>
  <c r="F198" i="1"/>
  <c r="AE192" i="1"/>
  <c r="AD192" i="1"/>
  <c r="AD198" i="1" s="1"/>
  <c r="AC192" i="1"/>
  <c r="AC198" i="1" s="1"/>
  <c r="AB192" i="1"/>
  <c r="AB198" i="1" s="1"/>
  <c r="AA192" i="1"/>
  <c r="Z192" i="1"/>
  <c r="Y192" i="1"/>
  <c r="Y198" i="1" s="1"/>
  <c r="X192" i="1"/>
  <c r="K192" i="1"/>
  <c r="J192" i="1"/>
  <c r="J198" i="1" s="1"/>
  <c r="I192" i="1"/>
  <c r="I198" i="1" s="1"/>
  <c r="H192" i="1"/>
  <c r="H198" i="1" s="1"/>
  <c r="G192" i="1"/>
  <c r="G198" i="1" s="1"/>
  <c r="F192" i="1"/>
  <c r="AA190" i="1"/>
  <c r="Z190" i="1"/>
  <c r="Y190" i="1"/>
  <c r="X190" i="1"/>
  <c r="G190" i="1"/>
  <c r="F190" i="1"/>
  <c r="M188" i="1"/>
  <c r="N188" i="1" s="1"/>
  <c r="O188" i="1" s="1"/>
  <c r="P188" i="1" s="1"/>
  <c r="Q188" i="1" s="1"/>
  <c r="R188" i="1" s="1"/>
  <c r="S188" i="1" s="1"/>
  <c r="T188" i="1" s="1"/>
  <c r="U188" i="1" s="1"/>
  <c r="L188" i="1"/>
  <c r="AE186" i="1"/>
  <c r="AD186" i="1"/>
  <c r="AD247" i="1" s="1"/>
  <c r="AD252" i="1" s="1"/>
  <c r="K186" i="1"/>
  <c r="O185" i="1"/>
  <c r="P185" i="1" s="1"/>
  <c r="M185" i="1"/>
  <c r="N185" i="1" s="1"/>
  <c r="L185" i="1"/>
  <c r="AE183" i="1"/>
  <c r="AC183" i="1"/>
  <c r="AB183" i="1"/>
  <c r="AA183" i="1"/>
  <c r="Z183" i="1"/>
  <c r="Y183" i="1"/>
  <c r="X183" i="1"/>
  <c r="K183" i="1"/>
  <c r="J183" i="1"/>
  <c r="I183" i="1"/>
  <c r="H183" i="1"/>
  <c r="G183" i="1"/>
  <c r="F183" i="1"/>
  <c r="AE179" i="1"/>
  <c r="AD179" i="1"/>
  <c r="AC179" i="1"/>
  <c r="AC247" i="1" s="1"/>
  <c r="AC252" i="1" s="1"/>
  <c r="AB179" i="1"/>
  <c r="K179" i="1"/>
  <c r="J179" i="1"/>
  <c r="Q178" i="1"/>
  <c r="R178" i="1" s="1"/>
  <c r="S178" i="1" s="1"/>
  <c r="T178" i="1" s="1"/>
  <c r="U178" i="1" s="1"/>
  <c r="O178" i="1"/>
  <c r="P178" i="1" s="1"/>
  <c r="M178" i="1"/>
  <c r="N178" i="1" s="1"/>
  <c r="L178" i="1"/>
  <c r="P177" i="1"/>
  <c r="Q177" i="1" s="1"/>
  <c r="R177" i="1" s="1"/>
  <c r="S177" i="1" s="1"/>
  <c r="T177" i="1" s="1"/>
  <c r="U177" i="1" s="1"/>
  <c r="M177" i="1"/>
  <c r="N177" i="1" s="1"/>
  <c r="O177" i="1" s="1"/>
  <c r="L177" i="1"/>
  <c r="Q176" i="1"/>
  <c r="R176" i="1" s="1"/>
  <c r="S176" i="1" s="1"/>
  <c r="T176" i="1" s="1"/>
  <c r="U176" i="1" s="1"/>
  <c r="N176" i="1"/>
  <c r="O176" i="1" s="1"/>
  <c r="P176" i="1" s="1"/>
  <c r="M176" i="1"/>
  <c r="L176" i="1"/>
  <c r="AE175" i="1"/>
  <c r="AD175" i="1"/>
  <c r="AC175" i="1"/>
  <c r="AC207" i="1" s="1"/>
  <c r="K175" i="1"/>
  <c r="K208" i="1" s="1"/>
  <c r="K218" i="1" s="1"/>
  <c r="L218" i="1" s="1"/>
  <c r="J175" i="1"/>
  <c r="J208" i="1" s="1"/>
  <c r="J218" i="1" s="1"/>
  <c r="AE172" i="1"/>
  <c r="AD172" i="1"/>
  <c r="AC172" i="1"/>
  <c r="AC190" i="1" s="1"/>
  <c r="AB172" i="1"/>
  <c r="AB190" i="1" s="1"/>
  <c r="AA172" i="1"/>
  <c r="Z172" i="1"/>
  <c r="Y172" i="1"/>
  <c r="X172" i="1"/>
  <c r="K172" i="1"/>
  <c r="J172" i="1"/>
  <c r="I172" i="1"/>
  <c r="I190" i="1" s="1"/>
  <c r="I199" i="1" s="1"/>
  <c r="H172" i="1"/>
  <c r="H190" i="1" s="1"/>
  <c r="G172" i="1"/>
  <c r="F172" i="1"/>
  <c r="AC170" i="1"/>
  <c r="AC199" i="1" s="1"/>
  <c r="R167" i="1"/>
  <c r="S167" i="1" s="1"/>
  <c r="T167" i="1" s="1"/>
  <c r="U167" i="1" s="1"/>
  <c r="L167" i="1"/>
  <c r="M167" i="1" s="1"/>
  <c r="N167" i="1" s="1"/>
  <c r="O167" i="1" s="1"/>
  <c r="P167" i="1" s="1"/>
  <c r="Q167" i="1" s="1"/>
  <c r="R166" i="1"/>
  <c r="S166" i="1" s="1"/>
  <c r="T166" i="1" s="1"/>
  <c r="U166" i="1" s="1"/>
  <c r="M166" i="1"/>
  <c r="N166" i="1" s="1"/>
  <c r="O166" i="1" s="1"/>
  <c r="P166" i="1" s="1"/>
  <c r="Q166" i="1" s="1"/>
  <c r="L166" i="1"/>
  <c r="M165" i="1"/>
  <c r="N165" i="1" s="1"/>
  <c r="O165" i="1" s="1"/>
  <c r="P165" i="1" s="1"/>
  <c r="Q165" i="1" s="1"/>
  <c r="R165" i="1" s="1"/>
  <c r="S165" i="1" s="1"/>
  <c r="T165" i="1" s="1"/>
  <c r="U165" i="1" s="1"/>
  <c r="L165" i="1"/>
  <c r="O164" i="1"/>
  <c r="P164" i="1" s="1"/>
  <c r="Q164" i="1" s="1"/>
  <c r="R164" i="1" s="1"/>
  <c r="S164" i="1" s="1"/>
  <c r="T164" i="1" s="1"/>
  <c r="U164" i="1" s="1"/>
  <c r="N164" i="1"/>
  <c r="L164" i="1"/>
  <c r="M164" i="1" s="1"/>
  <c r="M163" i="1"/>
  <c r="N163" i="1" s="1"/>
  <c r="O163" i="1" s="1"/>
  <c r="P163" i="1" s="1"/>
  <c r="Q163" i="1" s="1"/>
  <c r="R163" i="1" s="1"/>
  <c r="S163" i="1" s="1"/>
  <c r="T163" i="1" s="1"/>
  <c r="U163" i="1" s="1"/>
  <c r="L163" i="1"/>
  <c r="J162" i="1"/>
  <c r="I162" i="1"/>
  <c r="H162" i="1"/>
  <c r="G162" i="1"/>
  <c r="G215" i="1" s="1"/>
  <c r="F162" i="1"/>
  <c r="F215" i="1" s="1"/>
  <c r="AE156" i="1"/>
  <c r="AD156" i="1"/>
  <c r="AC156" i="1"/>
  <c r="AB156" i="1"/>
  <c r="AA156" i="1"/>
  <c r="Z156" i="1"/>
  <c r="Z170" i="1" s="1"/>
  <c r="Z199" i="1" s="1"/>
  <c r="Y156" i="1"/>
  <c r="X156" i="1"/>
  <c r="K156" i="1"/>
  <c r="J156" i="1"/>
  <c r="I156" i="1"/>
  <c r="H156" i="1"/>
  <c r="G156" i="1"/>
  <c r="G170" i="1" s="1"/>
  <c r="G199" i="1" s="1"/>
  <c r="F156" i="1"/>
  <c r="F170" i="1" s="1"/>
  <c r="F199" i="1" s="1"/>
  <c r="J153" i="1"/>
  <c r="I153" i="1"/>
  <c r="H153" i="1"/>
  <c r="G153" i="1"/>
  <c r="F153" i="1"/>
  <c r="J150" i="1"/>
  <c r="J154" i="1" s="1"/>
  <c r="I150" i="1"/>
  <c r="H150" i="1"/>
  <c r="G150" i="1"/>
  <c r="F150" i="1"/>
  <c r="J149" i="1"/>
  <c r="T148" i="1"/>
  <c r="U148" i="1" s="1"/>
  <c r="N148" i="1"/>
  <c r="O148" i="1" s="1"/>
  <c r="P148" i="1" s="1"/>
  <c r="Q148" i="1" s="1"/>
  <c r="R148" i="1" s="1"/>
  <c r="S148" i="1" s="1"/>
  <c r="M148" i="1"/>
  <c r="L148" i="1"/>
  <c r="J148" i="1"/>
  <c r="J147" i="1"/>
  <c r="L146" i="1"/>
  <c r="M146" i="1" s="1"/>
  <c r="L145" i="1"/>
  <c r="K144" i="1"/>
  <c r="K147" i="1" s="1"/>
  <c r="K231" i="1" s="1"/>
  <c r="J140" i="1"/>
  <c r="K135" i="1" s="1"/>
  <c r="I140" i="1"/>
  <c r="H140" i="1"/>
  <c r="G140" i="1"/>
  <c r="F140" i="1"/>
  <c r="G139" i="1"/>
  <c r="G141" i="1" s="1"/>
  <c r="H138" i="1"/>
  <c r="G138" i="1"/>
  <c r="K137" i="1"/>
  <c r="K230" i="1" s="1"/>
  <c r="J137" i="1"/>
  <c r="I137" i="1"/>
  <c r="H137" i="1"/>
  <c r="G137" i="1"/>
  <c r="F137" i="1"/>
  <c r="M136" i="1"/>
  <c r="L136" i="1"/>
  <c r="L241" i="1" s="1"/>
  <c r="J136" i="1"/>
  <c r="I136" i="1"/>
  <c r="H136" i="1"/>
  <c r="G136" i="1"/>
  <c r="F136" i="1"/>
  <c r="J135" i="1"/>
  <c r="J138" i="1" s="1"/>
  <c r="K138" i="1" s="1"/>
  <c r="L138" i="1" s="1"/>
  <c r="M138" i="1" s="1"/>
  <c r="N138" i="1" s="1"/>
  <c r="O138" i="1" s="1"/>
  <c r="P138" i="1" s="1"/>
  <c r="Q138" i="1" s="1"/>
  <c r="R138" i="1" s="1"/>
  <c r="S138" i="1" s="1"/>
  <c r="T138" i="1" s="1"/>
  <c r="U138" i="1" s="1"/>
  <c r="I135" i="1"/>
  <c r="I138" i="1" s="1"/>
  <c r="H135" i="1"/>
  <c r="H139" i="1" s="1"/>
  <c r="G135" i="1"/>
  <c r="F135" i="1"/>
  <c r="J131" i="1"/>
  <c r="J132" i="1" s="1"/>
  <c r="I131" i="1"/>
  <c r="J129" i="1"/>
  <c r="I129" i="1"/>
  <c r="H129" i="1"/>
  <c r="G129" i="1"/>
  <c r="F129" i="1"/>
  <c r="F128" i="1"/>
  <c r="F127" i="1"/>
  <c r="J126" i="1"/>
  <c r="I126" i="1"/>
  <c r="H126" i="1"/>
  <c r="G126" i="1"/>
  <c r="F126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G124" i="1" s="1"/>
  <c r="F123" i="1"/>
  <c r="F124" i="1" s="1"/>
  <c r="F125" i="1" s="1"/>
  <c r="J122" i="1"/>
  <c r="J124" i="1" s="1"/>
  <c r="I122" i="1"/>
  <c r="I124" i="1" s="1"/>
  <c r="H122" i="1"/>
  <c r="H124" i="1" s="1"/>
  <c r="G122" i="1"/>
  <c r="F122" i="1"/>
  <c r="K121" i="1"/>
  <c r="J121" i="1"/>
  <c r="F121" i="1"/>
  <c r="S118" i="1"/>
  <c r="T118" i="1" s="1"/>
  <c r="U118" i="1" s="1"/>
  <c r="R118" i="1"/>
  <c r="M118" i="1"/>
  <c r="N118" i="1" s="1"/>
  <c r="O118" i="1" s="1"/>
  <c r="P118" i="1" s="1"/>
  <c r="Q118" i="1" s="1"/>
  <c r="L118" i="1"/>
  <c r="J117" i="1"/>
  <c r="H117" i="1"/>
  <c r="G117" i="1"/>
  <c r="AE115" i="1"/>
  <c r="K115" i="1"/>
  <c r="K66" i="1" s="1"/>
  <c r="L114" i="1"/>
  <c r="M114" i="1" s="1"/>
  <c r="N114" i="1" s="1"/>
  <c r="O114" i="1" s="1"/>
  <c r="P114" i="1" s="1"/>
  <c r="Q114" i="1" s="1"/>
  <c r="R114" i="1" s="1"/>
  <c r="S114" i="1" s="1"/>
  <c r="T114" i="1" s="1"/>
  <c r="U114" i="1" s="1"/>
  <c r="M113" i="1"/>
  <c r="N113" i="1" s="1"/>
  <c r="O113" i="1" s="1"/>
  <c r="P113" i="1" s="1"/>
  <c r="Q113" i="1" s="1"/>
  <c r="R113" i="1" s="1"/>
  <c r="S113" i="1" s="1"/>
  <c r="T113" i="1" s="1"/>
  <c r="U113" i="1" s="1"/>
  <c r="L113" i="1"/>
  <c r="N112" i="1"/>
  <c r="O112" i="1" s="1"/>
  <c r="P112" i="1" s="1"/>
  <c r="Q112" i="1" s="1"/>
  <c r="R112" i="1" s="1"/>
  <c r="S112" i="1" s="1"/>
  <c r="T112" i="1" s="1"/>
  <c r="U112" i="1" s="1"/>
  <c r="L112" i="1"/>
  <c r="M112" i="1" s="1"/>
  <c r="N111" i="1"/>
  <c r="O111" i="1" s="1"/>
  <c r="P111" i="1" s="1"/>
  <c r="Q111" i="1" s="1"/>
  <c r="R111" i="1" s="1"/>
  <c r="S111" i="1" s="1"/>
  <c r="T111" i="1" s="1"/>
  <c r="U111" i="1" s="1"/>
  <c r="M111" i="1"/>
  <c r="L111" i="1"/>
  <c r="N110" i="1"/>
  <c r="O110" i="1" s="1"/>
  <c r="M110" i="1"/>
  <c r="L110" i="1"/>
  <c r="AE109" i="1"/>
  <c r="AE103" i="1" s="1"/>
  <c r="AE170" i="1" s="1"/>
  <c r="AD109" i="1"/>
  <c r="AC109" i="1"/>
  <c r="AB109" i="1"/>
  <c r="AB103" i="1" s="1"/>
  <c r="AB170" i="1" s="1"/>
  <c r="AB199" i="1" s="1"/>
  <c r="AA109" i="1"/>
  <c r="AA103" i="1" s="1"/>
  <c r="AA170" i="1" s="1"/>
  <c r="AA199" i="1" s="1"/>
  <c r="L109" i="1"/>
  <c r="M109" i="1" s="1"/>
  <c r="N109" i="1" s="1"/>
  <c r="O109" i="1" s="1"/>
  <c r="P109" i="1" s="1"/>
  <c r="Q109" i="1" s="1"/>
  <c r="R109" i="1" s="1"/>
  <c r="S109" i="1" s="1"/>
  <c r="T109" i="1" s="1"/>
  <c r="U109" i="1" s="1"/>
  <c r="K109" i="1"/>
  <c r="J109" i="1"/>
  <c r="I109" i="1"/>
  <c r="S107" i="1"/>
  <c r="T107" i="1" s="1"/>
  <c r="U107" i="1" s="1"/>
  <c r="R107" i="1"/>
  <c r="M107" i="1"/>
  <c r="N107" i="1" s="1"/>
  <c r="O107" i="1" s="1"/>
  <c r="P107" i="1" s="1"/>
  <c r="Q107" i="1" s="1"/>
  <c r="L107" i="1"/>
  <c r="AD103" i="1"/>
  <c r="AD170" i="1" s="1"/>
  <c r="AC103" i="1"/>
  <c r="Z103" i="1"/>
  <c r="Y103" i="1"/>
  <c r="X103" i="1"/>
  <c r="X170" i="1" s="1"/>
  <c r="X199" i="1" s="1"/>
  <c r="J103" i="1"/>
  <c r="J170" i="1" s="1"/>
  <c r="I103" i="1"/>
  <c r="I170" i="1" s="1"/>
  <c r="H103" i="1"/>
  <c r="H170" i="1" s="1"/>
  <c r="H199" i="1" s="1"/>
  <c r="G103" i="1"/>
  <c r="F103" i="1"/>
  <c r="AE90" i="1"/>
  <c r="AC90" i="1"/>
  <c r="AA90" i="1"/>
  <c r="Y90" i="1"/>
  <c r="AE84" i="1"/>
  <c r="AC84" i="1"/>
  <c r="AA84" i="1"/>
  <c r="Y84" i="1"/>
  <c r="I80" i="1"/>
  <c r="H80" i="1"/>
  <c r="G80" i="1"/>
  <c r="F80" i="1"/>
  <c r="I79" i="1"/>
  <c r="H79" i="1"/>
  <c r="G79" i="1"/>
  <c r="J78" i="1"/>
  <c r="J80" i="1" s="1"/>
  <c r="AE76" i="1"/>
  <c r="AC76" i="1"/>
  <c r="AA76" i="1"/>
  <c r="Y76" i="1"/>
  <c r="AE74" i="1"/>
  <c r="AC74" i="1"/>
  <c r="AA74" i="1"/>
  <c r="Y74" i="1"/>
  <c r="AE72" i="1"/>
  <c r="AD72" i="1"/>
  <c r="AD233" i="1" s="1"/>
  <c r="AB72" i="1"/>
  <c r="AB233" i="1" s="1"/>
  <c r="Y72" i="1"/>
  <c r="K72" i="1"/>
  <c r="J72" i="1"/>
  <c r="I72" i="1"/>
  <c r="J70" i="1"/>
  <c r="I70" i="1"/>
  <c r="H70" i="1"/>
  <c r="G70" i="1"/>
  <c r="F70" i="1"/>
  <c r="J69" i="1"/>
  <c r="I69" i="1"/>
  <c r="H69" i="1"/>
  <c r="G69" i="1"/>
  <c r="F69" i="1"/>
  <c r="K68" i="1"/>
  <c r="J67" i="1"/>
  <c r="I67" i="1"/>
  <c r="H67" i="1"/>
  <c r="G67" i="1"/>
  <c r="AE65" i="1"/>
  <c r="AC65" i="1"/>
  <c r="AA65" i="1"/>
  <c r="Y65" i="1"/>
  <c r="AD56" i="1"/>
  <c r="AB56" i="1"/>
  <c r="Z56" i="1"/>
  <c r="Y56" i="1"/>
  <c r="X56" i="1"/>
  <c r="M56" i="1"/>
  <c r="L56" i="1"/>
  <c r="J56" i="1"/>
  <c r="H56" i="1"/>
  <c r="G56" i="1"/>
  <c r="F56" i="1"/>
  <c r="AD55" i="1"/>
  <c r="AB55" i="1"/>
  <c r="Z55" i="1"/>
  <c r="X55" i="1"/>
  <c r="K55" i="1"/>
  <c r="J55" i="1"/>
  <c r="I55" i="1"/>
  <c r="H55" i="1"/>
  <c r="G55" i="1"/>
  <c r="F55" i="1"/>
  <c r="AD54" i="1"/>
  <c r="AB54" i="1"/>
  <c r="Z54" i="1"/>
  <c r="X54" i="1"/>
  <c r="J54" i="1"/>
  <c r="I54" i="1"/>
  <c r="H54" i="1"/>
  <c r="G54" i="1"/>
  <c r="F54" i="1"/>
  <c r="AD53" i="1"/>
  <c r="AB53" i="1"/>
  <c r="Z53" i="1"/>
  <c r="X53" i="1"/>
  <c r="L53" i="1"/>
  <c r="J53" i="1"/>
  <c r="K53" i="1" s="1"/>
  <c r="I53" i="1"/>
  <c r="H53" i="1"/>
  <c r="G53" i="1"/>
  <c r="F53" i="1"/>
  <c r="AD52" i="1"/>
  <c r="AB52" i="1"/>
  <c r="Z52" i="1"/>
  <c r="X52" i="1"/>
  <c r="J52" i="1"/>
  <c r="I52" i="1"/>
  <c r="H52" i="1"/>
  <c r="G52" i="1"/>
  <c r="F52" i="1"/>
  <c r="AD51" i="1"/>
  <c r="AC51" i="1"/>
  <c r="AB51" i="1"/>
  <c r="Z51" i="1"/>
  <c r="Y51" i="1"/>
  <c r="X51" i="1"/>
  <c r="K51" i="1"/>
  <c r="J51" i="1"/>
  <c r="I51" i="1"/>
  <c r="H51" i="1"/>
  <c r="G51" i="1"/>
  <c r="F51" i="1"/>
  <c r="AE48" i="1"/>
  <c r="AE56" i="1" s="1"/>
  <c r="AC48" i="1"/>
  <c r="AC56" i="1" s="1"/>
  <c r="Z48" i="1"/>
  <c r="Z35" i="1" s="1"/>
  <c r="Y48" i="1"/>
  <c r="I48" i="1"/>
  <c r="I35" i="1" s="1"/>
  <c r="I36" i="1" s="1"/>
  <c r="K47" i="1"/>
  <c r="L47" i="1" s="1"/>
  <c r="L46" i="1" s="1"/>
  <c r="J47" i="1"/>
  <c r="I47" i="1"/>
  <c r="H47" i="1"/>
  <c r="AE46" i="1"/>
  <c r="AE55" i="1" s="1"/>
  <c r="AC46" i="1"/>
  <c r="AC55" i="1" s="1"/>
  <c r="AA46" i="1"/>
  <c r="AA55" i="1" s="1"/>
  <c r="Y46" i="1"/>
  <c r="Y55" i="1" s="1"/>
  <c r="AE45" i="1"/>
  <c r="AE54" i="1" s="1"/>
  <c r="AC45" i="1"/>
  <c r="AA45" i="1"/>
  <c r="AA54" i="1" s="1"/>
  <c r="Y45" i="1"/>
  <c r="AE44" i="1"/>
  <c r="AC44" i="1"/>
  <c r="AC53" i="1" s="1"/>
  <c r="AA44" i="1"/>
  <c r="AA53" i="1" s="1"/>
  <c r="Y44" i="1"/>
  <c r="AD43" i="1"/>
  <c r="AC43" i="1"/>
  <c r="J43" i="1"/>
  <c r="AE42" i="1"/>
  <c r="AE52" i="1" s="1"/>
  <c r="AC42" i="1"/>
  <c r="AA42" i="1"/>
  <c r="Y42" i="1"/>
  <c r="J41" i="1"/>
  <c r="AD40" i="1"/>
  <c r="AC40" i="1"/>
  <c r="AA40" i="1"/>
  <c r="L40" i="1"/>
  <c r="K40" i="1"/>
  <c r="J40" i="1"/>
  <c r="I40" i="1"/>
  <c r="AD39" i="1"/>
  <c r="AC39" i="1"/>
  <c r="AB39" i="1"/>
  <c r="AA39" i="1"/>
  <c r="J39" i="1"/>
  <c r="I39" i="1"/>
  <c r="K38" i="1"/>
  <c r="AE37" i="1"/>
  <c r="AC37" i="1"/>
  <c r="AA37" i="1"/>
  <c r="Y37" i="1"/>
  <c r="Y35" i="1" s="1"/>
  <c r="AB36" i="1"/>
  <c r="H36" i="1"/>
  <c r="G36" i="1"/>
  <c r="AE35" i="1"/>
  <c r="AE36" i="1" s="1"/>
  <c r="AD35" i="1"/>
  <c r="AD36" i="1" s="1"/>
  <c r="AC35" i="1"/>
  <c r="AB35" i="1"/>
  <c r="X35" i="1"/>
  <c r="X62" i="1" s="1"/>
  <c r="K35" i="1"/>
  <c r="K36" i="1" s="1"/>
  <c r="J35" i="1"/>
  <c r="J36" i="1" s="1"/>
  <c r="H35" i="1"/>
  <c r="G35" i="1"/>
  <c r="F35" i="1"/>
  <c r="F62" i="1" s="1"/>
  <c r="F63" i="1" s="1"/>
  <c r="AD33" i="1"/>
  <c r="AC33" i="1"/>
  <c r="AB33" i="1"/>
  <c r="X33" i="1"/>
  <c r="K33" i="1"/>
  <c r="J33" i="1"/>
  <c r="I33" i="1"/>
  <c r="H33" i="1"/>
  <c r="G33" i="1"/>
  <c r="AD32" i="1"/>
  <c r="AC32" i="1"/>
  <c r="AB32" i="1"/>
  <c r="AB62" i="1" s="1"/>
  <c r="AB63" i="1" s="1"/>
  <c r="AA32" i="1"/>
  <c r="Z32" i="1"/>
  <c r="Y32" i="1"/>
  <c r="Y33" i="1" s="1"/>
  <c r="X32" i="1"/>
  <c r="K32" i="1"/>
  <c r="K62" i="1" s="1"/>
  <c r="J32" i="1"/>
  <c r="J62" i="1" s="1"/>
  <c r="I32" i="1"/>
  <c r="H32" i="1"/>
  <c r="H62" i="1" s="1"/>
  <c r="H59" i="1" s="1"/>
  <c r="H60" i="1" s="1"/>
  <c r="G32" i="1"/>
  <c r="G62" i="1" s="1"/>
  <c r="G63" i="1" s="1"/>
  <c r="F32" i="1"/>
  <c r="F33" i="1" s="1"/>
  <c r="Y30" i="1"/>
  <c r="Y29" i="1"/>
  <c r="Z28" i="1"/>
  <c r="X28" i="1"/>
  <c r="H28" i="1"/>
  <c r="G28" i="1"/>
  <c r="F28" i="1"/>
  <c r="Y27" i="1"/>
  <c r="Y28" i="1" s="1"/>
  <c r="AE25" i="1"/>
  <c r="AC25" i="1"/>
  <c r="AA25" i="1"/>
  <c r="Y25" i="1"/>
  <c r="AD23" i="1"/>
  <c r="AB23" i="1"/>
  <c r="Z23" i="1"/>
  <c r="X23" i="1"/>
  <c r="K23" i="1"/>
  <c r="J23" i="1"/>
  <c r="I23" i="1"/>
  <c r="H23" i="1"/>
  <c r="G23" i="1"/>
  <c r="F23" i="1"/>
  <c r="AD22" i="1"/>
  <c r="AC22" i="1"/>
  <c r="AB22" i="1"/>
  <c r="Z22" i="1"/>
  <c r="X22" i="1"/>
  <c r="K22" i="1"/>
  <c r="J22" i="1"/>
  <c r="I22" i="1"/>
  <c r="H22" i="1"/>
  <c r="G22" i="1"/>
  <c r="F22" i="1"/>
  <c r="AD21" i="1"/>
  <c r="AB21" i="1"/>
  <c r="Z21" i="1"/>
  <c r="X21" i="1"/>
  <c r="K21" i="1"/>
  <c r="J21" i="1"/>
  <c r="I21" i="1"/>
  <c r="H21" i="1"/>
  <c r="G21" i="1"/>
  <c r="F21" i="1"/>
  <c r="AD20" i="1"/>
  <c r="AC20" i="1"/>
  <c r="AB20" i="1"/>
  <c r="AA20" i="1"/>
  <c r="Z20" i="1"/>
  <c r="X20" i="1"/>
  <c r="K20" i="1"/>
  <c r="J20" i="1"/>
  <c r="I20" i="1"/>
  <c r="H20" i="1"/>
  <c r="G20" i="1"/>
  <c r="F20" i="1"/>
  <c r="AD19" i="1"/>
  <c r="AC19" i="1"/>
  <c r="AB19" i="1"/>
  <c r="AA19" i="1"/>
  <c r="Z19" i="1"/>
  <c r="Y19" i="1"/>
  <c r="X19" i="1"/>
  <c r="K19" i="1"/>
  <c r="J19" i="1"/>
  <c r="I19" i="1"/>
  <c r="H19" i="1"/>
  <c r="G19" i="1"/>
  <c r="F19" i="1"/>
  <c r="AE16" i="1"/>
  <c r="AE23" i="1" s="1"/>
  <c r="AC16" i="1"/>
  <c r="AC23" i="1" s="1"/>
  <c r="AA16" i="1"/>
  <c r="AA23" i="1" s="1"/>
  <c r="Y16" i="1"/>
  <c r="AD15" i="1"/>
  <c r="AB15" i="1"/>
  <c r="Z15" i="1"/>
  <c r="K15" i="1"/>
  <c r="J15" i="1"/>
  <c r="I15" i="1"/>
  <c r="H15" i="1"/>
  <c r="G15" i="1"/>
  <c r="AE14" i="1"/>
  <c r="AE22" i="1" s="1"/>
  <c r="AC14" i="1"/>
  <c r="AA14" i="1"/>
  <c r="Y14" i="1"/>
  <c r="Y22" i="1" s="1"/>
  <c r="M14" i="1"/>
  <c r="L14" i="1"/>
  <c r="AD13" i="1"/>
  <c r="AB13" i="1"/>
  <c r="Z13" i="1"/>
  <c r="K13" i="1"/>
  <c r="J13" i="1"/>
  <c r="I13" i="1"/>
  <c r="H13" i="1"/>
  <c r="G13" i="1"/>
  <c r="AE12" i="1"/>
  <c r="AE21" i="1" s="1"/>
  <c r="AC12" i="1"/>
  <c r="AE13" i="1" s="1"/>
  <c r="AA12" i="1"/>
  <c r="AA21" i="1" s="1"/>
  <c r="Y12" i="1"/>
  <c r="Y21" i="1" s="1"/>
  <c r="M12" i="1"/>
  <c r="L12" i="1"/>
  <c r="AD11" i="1"/>
  <c r="AB11" i="1"/>
  <c r="AA11" i="1"/>
  <c r="Z11" i="1"/>
  <c r="K11" i="1"/>
  <c r="AE10" i="1"/>
  <c r="AE20" i="1" s="1"/>
  <c r="AC10" i="1"/>
  <c r="AC11" i="1" s="1"/>
  <c r="AA10" i="1"/>
  <c r="Y10" i="1"/>
  <c r="L10" i="1"/>
  <c r="AE9" i="1"/>
  <c r="AD9" i="1"/>
  <c r="AC9" i="1"/>
  <c r="AB9" i="1"/>
  <c r="Z9" i="1"/>
  <c r="K9" i="1"/>
  <c r="J9" i="1"/>
  <c r="I9" i="1"/>
  <c r="H9" i="1"/>
  <c r="G9" i="1"/>
  <c r="AE8" i="1"/>
  <c r="AC8" i="1"/>
  <c r="AA8" i="1"/>
  <c r="Y8" i="1"/>
  <c r="AA9" i="1" s="1"/>
  <c r="AE6" i="1"/>
  <c r="AD6" i="1"/>
  <c r="AB6" i="1"/>
  <c r="Z6" i="1"/>
  <c r="K6" i="1"/>
  <c r="J6" i="1"/>
  <c r="I6" i="1"/>
  <c r="H6" i="1"/>
  <c r="G6" i="1"/>
  <c r="AE5" i="1"/>
  <c r="AE51" i="1" s="1"/>
  <c r="AC5" i="1"/>
  <c r="AA5" i="1"/>
  <c r="Y5" i="1"/>
  <c r="Y53" i="1" s="1"/>
  <c r="K63" i="1" l="1"/>
  <c r="K82" i="1"/>
  <c r="X82" i="1"/>
  <c r="X63" i="1"/>
  <c r="AC232" i="1"/>
  <c r="J63" i="1"/>
  <c r="J59" i="1"/>
  <c r="J60" i="1" s="1"/>
  <c r="J82" i="1"/>
  <c r="M46" i="1"/>
  <c r="K249" i="1"/>
  <c r="K52" i="1" s="1"/>
  <c r="K54" i="1"/>
  <c r="AA6" i="1"/>
  <c r="AE19" i="1"/>
  <c r="AC21" i="1"/>
  <c r="AE32" i="1"/>
  <c r="AA33" i="1"/>
  <c r="Z36" i="1"/>
  <c r="Y54" i="1"/>
  <c r="F59" i="1"/>
  <c r="F60" i="1" s="1"/>
  <c r="F82" i="1"/>
  <c r="AB82" i="1"/>
  <c r="J203" i="1"/>
  <c r="J212" i="1"/>
  <c r="G59" i="1"/>
  <c r="G60" i="1" s="1"/>
  <c r="G82" i="1"/>
  <c r="G121" i="1"/>
  <c r="F131" i="1"/>
  <c r="F130" i="1"/>
  <c r="AD190" i="1"/>
  <c r="AA232" i="1"/>
  <c r="Z232" i="1"/>
  <c r="K203" i="1"/>
  <c r="K212" i="1"/>
  <c r="L212" i="1" s="1"/>
  <c r="M219" i="1"/>
  <c r="Y317" i="1"/>
  <c r="M40" i="1"/>
  <c r="I233" i="1"/>
  <c r="AA72" i="1"/>
  <c r="AA233" i="1"/>
  <c r="H82" i="1"/>
  <c r="P110" i="1"/>
  <c r="G131" i="1"/>
  <c r="G132" i="1" s="1"/>
  <c r="H121" i="1"/>
  <c r="Q185" i="1"/>
  <c r="I121" i="1"/>
  <c r="H131" i="1"/>
  <c r="H132" i="1" s="1"/>
  <c r="G220" i="1"/>
  <c r="O216" i="1"/>
  <c r="N218" i="1"/>
  <c r="Y62" i="1"/>
  <c r="J128" i="1"/>
  <c r="J130" i="1" s="1"/>
  <c r="J127" i="1"/>
  <c r="K127" i="1" s="1"/>
  <c r="N136" i="1"/>
  <c r="M241" i="1"/>
  <c r="H203" i="1"/>
  <c r="AA15" i="1"/>
  <c r="I62" i="1"/>
  <c r="AA51" i="1"/>
  <c r="AB40" i="1"/>
  <c r="I56" i="1"/>
  <c r="AA48" i="1"/>
  <c r="AA56" i="1" s="1"/>
  <c r="J79" i="1"/>
  <c r="K79" i="1" s="1"/>
  <c r="K233" i="1"/>
  <c r="K244" i="1"/>
  <c r="H141" i="1"/>
  <c r="M145" i="1"/>
  <c r="N146" i="1"/>
  <c r="L186" i="1"/>
  <c r="K247" i="1"/>
  <c r="N12" i="1"/>
  <c r="AA13" i="1"/>
  <c r="Z33" i="1"/>
  <c r="Z62" i="1"/>
  <c r="AC13" i="1"/>
  <c r="M10" i="1"/>
  <c r="Y23" i="1"/>
  <c r="AA52" i="1"/>
  <c r="K103" i="1"/>
  <c r="K170" i="1" s="1"/>
  <c r="K199" i="1" s="1"/>
  <c r="N14" i="1"/>
  <c r="AA22" i="1"/>
  <c r="AC15" i="1"/>
  <c r="AE15" i="1"/>
  <c r="AC62" i="1"/>
  <c r="M53" i="1"/>
  <c r="N56" i="1"/>
  <c r="L115" i="1"/>
  <c r="M115" i="1" s="1"/>
  <c r="N115" i="1" s="1"/>
  <c r="O115" i="1" s="1"/>
  <c r="P115" i="1" s="1"/>
  <c r="Q115" i="1" s="1"/>
  <c r="R115" i="1" s="1"/>
  <c r="S115" i="1" s="1"/>
  <c r="T115" i="1" s="1"/>
  <c r="U115" i="1" s="1"/>
  <c r="I139" i="1"/>
  <c r="I141" i="1" s="1"/>
  <c r="J190" i="1"/>
  <c r="J199" i="1" s="1"/>
  <c r="AD183" i="1"/>
  <c r="AC6" i="1"/>
  <c r="AE11" i="1"/>
  <c r="Y20" i="1"/>
  <c r="AD62" i="1"/>
  <c r="AE53" i="1"/>
  <c r="H63" i="1"/>
  <c r="AD199" i="1"/>
  <c r="J139" i="1"/>
  <c r="J141" i="1" s="1"/>
  <c r="K139" i="1"/>
  <c r="K140" i="1" s="1"/>
  <c r="L135" i="1" s="1"/>
  <c r="J151" i="1"/>
  <c r="O217" i="1"/>
  <c r="AD301" i="1"/>
  <c r="AD308" i="1" s="1"/>
  <c r="AE297" i="1"/>
  <c r="Y52" i="1"/>
  <c r="K190" i="1"/>
  <c r="AE190" i="1"/>
  <c r="AE199" i="1" s="1"/>
  <c r="F139" i="1"/>
  <c r="F138" i="1"/>
  <c r="AA252" i="1"/>
  <c r="Z259" i="1"/>
  <c r="K312" i="1"/>
  <c r="K295" i="1"/>
  <c r="K285" i="1"/>
  <c r="K292" i="1"/>
  <c r="G332" i="1"/>
  <c r="G314" i="1"/>
  <c r="G320" i="1" s="1"/>
  <c r="G340" i="1"/>
  <c r="G339" i="1"/>
  <c r="I342" i="1"/>
  <c r="I336" i="1"/>
  <c r="AA330" i="1"/>
  <c r="N303" i="1"/>
  <c r="I320" i="1"/>
  <c r="H340" i="1"/>
  <c r="AD332" i="1"/>
  <c r="AD348" i="1"/>
  <c r="AD379" i="1" s="1"/>
  <c r="AE349" i="1"/>
  <c r="AC352" i="1"/>
  <c r="AC336" i="1"/>
  <c r="AC318" i="1"/>
  <c r="Z308" i="1"/>
  <c r="N315" i="1"/>
  <c r="I332" i="1"/>
  <c r="H341" i="1"/>
  <c r="H335" i="1"/>
  <c r="H357" i="1"/>
  <c r="AD389" i="1"/>
  <c r="AA262" i="1"/>
  <c r="AD285" i="1"/>
  <c r="J332" i="1"/>
  <c r="J314" i="1"/>
  <c r="J320" i="1" s="1"/>
  <c r="Z356" i="1"/>
  <c r="Z334" i="1"/>
  <c r="I341" i="1"/>
  <c r="AA329" i="1"/>
  <c r="AE352" i="1"/>
  <c r="AE336" i="1"/>
  <c r="I335" i="1"/>
  <c r="AE301" i="1"/>
  <c r="AE308" i="1" s="1"/>
  <c r="AE300" i="1"/>
  <c r="AE285" i="1"/>
  <c r="AA328" i="1"/>
  <c r="H332" i="1"/>
  <c r="J335" i="1"/>
  <c r="AC72" i="1"/>
  <c r="AC233" i="1" s="1"/>
  <c r="J233" i="1"/>
  <c r="Y170" i="1"/>
  <c r="Y199" i="1" s="1"/>
  <c r="Y261" i="1"/>
  <c r="Y262" i="1" s="1"/>
  <c r="H274" i="1"/>
  <c r="K294" i="1"/>
  <c r="F301" i="1"/>
  <c r="G297" i="1"/>
  <c r="F300" i="1"/>
  <c r="Y203" i="1"/>
  <c r="AC244" i="1"/>
  <c r="I252" i="1"/>
  <c r="AA248" i="1"/>
  <c r="I259" i="1"/>
  <c r="I295" i="1"/>
  <c r="I293" i="1"/>
  <c r="I294" i="1"/>
  <c r="I292" i="1"/>
  <c r="I312" i="1"/>
  <c r="S303" i="1"/>
  <c r="Z311" i="1"/>
  <c r="H297" i="1"/>
  <c r="H299" i="1" s="1"/>
  <c r="AA349" i="1"/>
  <c r="AA326" i="1"/>
  <c r="J340" i="1"/>
  <c r="J334" i="1"/>
  <c r="J350" i="1"/>
  <c r="J381" i="1" s="1"/>
  <c r="AC328" i="1"/>
  <c r="G358" i="1"/>
  <c r="G336" i="1"/>
  <c r="G342" i="1"/>
  <c r="H336" i="1"/>
  <c r="AD386" i="1"/>
  <c r="AC52" i="1"/>
  <c r="AC54" i="1"/>
  <c r="F117" i="1"/>
  <c r="I125" i="1"/>
  <c r="F141" i="1"/>
  <c r="F212" i="1"/>
  <c r="F203" i="1"/>
  <c r="F220" i="1" s="1"/>
  <c r="AC254" i="1"/>
  <c r="AC259" i="1" s="1"/>
  <c r="AC261" i="1"/>
  <c r="AC262" i="1" s="1"/>
  <c r="J257" i="1"/>
  <c r="J259" i="1"/>
  <c r="J285" i="1"/>
  <c r="Z300" i="1"/>
  <c r="AA297" i="1"/>
  <c r="AA299" i="1" s="1"/>
  <c r="K293" i="1"/>
  <c r="L303" i="1"/>
  <c r="L281" i="1" s="1"/>
  <c r="T303" i="1"/>
  <c r="I297" i="1"/>
  <c r="I299" i="1" s="1"/>
  <c r="AD314" i="1"/>
  <c r="AB349" i="1"/>
  <c r="AB380" i="1" s="1"/>
  <c r="AB386" i="1" s="1"/>
  <c r="AB333" i="1"/>
  <c r="AD333" i="1"/>
  <c r="AB326" i="1"/>
  <c r="H358" i="1"/>
  <c r="Y330" i="1"/>
  <c r="H342" i="1"/>
  <c r="J336" i="1"/>
  <c r="H294" i="1"/>
  <c r="H292" i="1"/>
  <c r="AB360" i="1"/>
  <c r="AB312" i="1"/>
  <c r="H293" i="1"/>
  <c r="AE311" i="1"/>
  <c r="AD297" i="1"/>
  <c r="AD299" i="1" s="1"/>
  <c r="K345" i="1"/>
  <c r="K326" i="1"/>
  <c r="Z333" i="1"/>
  <c r="Z355" i="1"/>
  <c r="I340" i="1"/>
  <c r="AB352" i="1"/>
  <c r="AB383" i="1" s="1"/>
  <c r="AB389" i="1" s="1"/>
  <c r="AB336" i="1"/>
  <c r="AD336" i="1"/>
  <c r="Z335" i="1"/>
  <c r="F367" i="1"/>
  <c r="F361" i="1"/>
  <c r="F354" i="1"/>
  <c r="F369" i="1"/>
  <c r="J358" i="1"/>
  <c r="AC364" i="1"/>
  <c r="X368" i="1"/>
  <c r="X362" i="1"/>
  <c r="K357" i="1"/>
  <c r="AD369" i="1"/>
  <c r="AD363" i="1"/>
  <c r="H355" i="1"/>
  <c r="H339" i="1"/>
  <c r="Y327" i="1"/>
  <c r="H345" i="1"/>
  <c r="K335" i="1"/>
  <c r="AE329" i="1"/>
  <c r="AE326" i="1" s="1"/>
  <c r="I357" i="1"/>
  <c r="Z369" i="1"/>
  <c r="Z363" i="1"/>
  <c r="J342" i="1"/>
  <c r="J352" i="1"/>
  <c r="J383" i="1" s="1"/>
  <c r="I427" i="1"/>
  <c r="G276" i="1"/>
  <c r="Z285" i="1"/>
  <c r="AE299" i="1"/>
  <c r="N316" i="1"/>
  <c r="M317" i="1"/>
  <c r="Z326" i="1"/>
  <c r="I339" i="1"/>
  <c r="K342" i="1"/>
  <c r="K336" i="1"/>
  <c r="AD354" i="1"/>
  <c r="AD360" i="1" s="1"/>
  <c r="J355" i="1"/>
  <c r="J349" i="1" s="1"/>
  <c r="J380" i="1" s="1"/>
  <c r="AC361" i="1"/>
  <c r="AC354" i="1"/>
  <c r="AC360" i="1" s="1"/>
  <c r="F370" i="1"/>
  <c r="F364" i="1"/>
  <c r="G293" i="1"/>
  <c r="G285" i="1"/>
  <c r="AA285" i="1"/>
  <c r="AB285" i="1"/>
  <c r="AA312" i="1"/>
  <c r="M318" i="1"/>
  <c r="J339" i="1"/>
  <c r="J333" i="1"/>
  <c r="AC327" i="1"/>
  <c r="AE333" i="1" s="1"/>
  <c r="H334" i="1"/>
  <c r="H356" i="1"/>
  <c r="H346" i="1"/>
  <c r="Y328" i="1"/>
  <c r="AE334" i="1"/>
  <c r="AE350" i="1"/>
  <c r="AB351" i="1"/>
  <c r="AB382" i="1" s="1"/>
  <c r="AB388" i="1" s="1"/>
  <c r="AB335" i="1"/>
  <c r="AD335" i="1"/>
  <c r="AC329" i="1"/>
  <c r="H333" i="1"/>
  <c r="AE360" i="1"/>
  <c r="H387" i="1"/>
  <c r="AA391" i="1"/>
  <c r="X399" i="1"/>
  <c r="X401" i="1"/>
  <c r="X403" i="1" s="1"/>
  <c r="AC391" i="1"/>
  <c r="AC367" i="1"/>
  <c r="K403" i="1"/>
  <c r="K402" i="1"/>
  <c r="P399" i="1"/>
  <c r="I406" i="1"/>
  <c r="I401" i="1"/>
  <c r="I399" i="1"/>
  <c r="J392" i="1"/>
  <c r="I392" i="1"/>
  <c r="AD401" i="1"/>
  <c r="AD392" i="1"/>
  <c r="Y391" i="1"/>
  <c r="Y399" i="1" s="1"/>
  <c r="AE392" i="1"/>
  <c r="AE401" i="1"/>
  <c r="G440" i="1"/>
  <c r="G484" i="1"/>
  <c r="AA316" i="1"/>
  <c r="AA368" i="1"/>
  <c r="AC370" i="1"/>
  <c r="AE399" i="1"/>
  <c r="G361" i="1"/>
  <c r="G367" i="1"/>
  <c r="G335" i="1"/>
  <c r="G341" i="1"/>
  <c r="G357" i="1"/>
  <c r="K334" i="1"/>
  <c r="K346" i="1"/>
  <c r="X369" i="1"/>
  <c r="X363" i="1"/>
  <c r="AD370" i="1"/>
  <c r="AD364" i="1"/>
  <c r="K358" i="1"/>
  <c r="K352" i="1" s="1"/>
  <c r="K383" i="1" s="1"/>
  <c r="AD399" i="1"/>
  <c r="X412" i="1"/>
  <c r="H427" i="1"/>
  <c r="G356" i="1"/>
  <c r="G346" i="1"/>
  <c r="G334" i="1"/>
  <c r="AB334" i="1"/>
  <c r="AB350" i="1"/>
  <c r="AB381" i="1" s="1"/>
  <c r="AB387" i="1" s="1"/>
  <c r="Z336" i="1"/>
  <c r="Z358" i="1"/>
  <c r="K355" i="1"/>
  <c r="AD361" i="1"/>
  <c r="AD367" i="1"/>
  <c r="K446" i="1"/>
  <c r="K435" i="1"/>
  <c r="G465" i="1"/>
  <c r="AC362" i="1"/>
  <c r="AC369" i="1"/>
  <c r="G401" i="1"/>
  <c r="G399" i="1"/>
  <c r="G412" i="1"/>
  <c r="AD351" i="1"/>
  <c r="AD382" i="1" s="1"/>
  <c r="AD388" i="1" s="1"/>
  <c r="AD334" i="1"/>
  <c r="X367" i="1"/>
  <c r="X361" i="1"/>
  <c r="F368" i="1"/>
  <c r="F362" i="1"/>
  <c r="X370" i="1"/>
  <c r="Z401" i="1"/>
  <c r="Z399" i="1"/>
  <c r="AB392" i="1"/>
  <c r="K427" i="1"/>
  <c r="I471" i="1"/>
  <c r="I465" i="1" s="1"/>
  <c r="X348" i="1"/>
  <c r="X379" i="1" s="1"/>
  <c r="J471" i="1"/>
  <c r="J465" i="1" s="1"/>
  <c r="H401" i="1"/>
  <c r="H399" i="1"/>
  <c r="Y413" i="1"/>
  <c r="Y406" i="1"/>
  <c r="H440" i="1"/>
  <c r="H484" i="1"/>
  <c r="AA363" i="1"/>
  <c r="AB363" i="1"/>
  <c r="AE348" i="1" l="1"/>
  <c r="AE332" i="1"/>
  <c r="K389" i="1"/>
  <c r="L389" i="1" s="1"/>
  <c r="L383" i="1" s="1"/>
  <c r="AA301" i="1"/>
  <c r="AA300" i="1"/>
  <c r="AB297" i="1"/>
  <c r="AB299" i="1" s="1"/>
  <c r="K434" i="1"/>
  <c r="K485" i="1"/>
  <c r="N318" i="1"/>
  <c r="AD310" i="1"/>
  <c r="AD309" i="1"/>
  <c r="AD300" i="1"/>
  <c r="N10" i="1"/>
  <c r="L247" i="1"/>
  <c r="M186" i="1"/>
  <c r="K220" i="1"/>
  <c r="K232" i="1"/>
  <c r="G87" i="1"/>
  <c r="G85" i="1"/>
  <c r="X87" i="1"/>
  <c r="X85" i="1"/>
  <c r="N145" i="1"/>
  <c r="O146" i="1"/>
  <c r="Y82" i="1"/>
  <c r="Y63" i="1"/>
  <c r="H128" i="1"/>
  <c r="H130" i="1" s="1"/>
  <c r="H127" i="1"/>
  <c r="N40" i="1"/>
  <c r="N46" i="1"/>
  <c r="O14" i="1"/>
  <c r="I232" i="1"/>
  <c r="H232" i="1"/>
  <c r="H220" i="1"/>
  <c r="O218" i="1"/>
  <c r="Y401" i="1"/>
  <c r="Y403" i="1" s="1"/>
  <c r="AC335" i="1"/>
  <c r="AC317" i="1"/>
  <c r="AC351" i="1"/>
  <c r="F360" i="1"/>
  <c r="F366" i="1"/>
  <c r="F348" i="1"/>
  <c r="F379" i="1" s="1"/>
  <c r="K117" i="1"/>
  <c r="L117" i="1" s="1"/>
  <c r="L297" i="1"/>
  <c r="K301" i="1"/>
  <c r="K300" i="1"/>
  <c r="H402" i="1"/>
  <c r="H403" i="1"/>
  <c r="AC392" i="1"/>
  <c r="AC401" i="1"/>
  <c r="AD311" i="1"/>
  <c r="AA322" i="1"/>
  <c r="K370" i="1"/>
  <c r="K364" i="1"/>
  <c r="Y356" i="1"/>
  <c r="H362" i="1"/>
  <c r="H368" i="1"/>
  <c r="Y326" i="1"/>
  <c r="Y315" i="1"/>
  <c r="AA321" i="1" s="1"/>
  <c r="I355" i="1"/>
  <c r="Z354" i="1"/>
  <c r="Z360" i="1" s="1"/>
  <c r="Z361" i="1"/>
  <c r="Z367" i="1"/>
  <c r="G299" i="1"/>
  <c r="G125" i="1"/>
  <c r="Z368" i="1"/>
  <c r="Z362" i="1"/>
  <c r="I356" i="1"/>
  <c r="I369" i="1"/>
  <c r="I363" i="1"/>
  <c r="K363" i="1"/>
  <c r="K369" i="1"/>
  <c r="K332" i="1"/>
  <c r="K314" i="1"/>
  <c r="K320" i="1" s="1"/>
  <c r="H320" i="1"/>
  <c r="P217" i="1"/>
  <c r="AD63" i="1"/>
  <c r="AD82" i="1"/>
  <c r="I128" i="1"/>
  <c r="I130" i="1" s="1"/>
  <c r="I127" i="1"/>
  <c r="J85" i="1"/>
  <c r="J87" i="1"/>
  <c r="K367" i="1"/>
  <c r="K361" i="1"/>
  <c r="K354" i="1"/>
  <c r="G368" i="1"/>
  <c r="G362" i="1"/>
  <c r="G354" i="1"/>
  <c r="K387" i="1"/>
  <c r="L387" i="1" s="1"/>
  <c r="L381" i="1" s="1"/>
  <c r="AD403" i="1"/>
  <c r="AD402" i="1"/>
  <c r="Z332" i="1"/>
  <c r="Z314" i="1"/>
  <c r="Z320" i="1" s="1"/>
  <c r="Y352" i="1"/>
  <c r="Y318" i="1"/>
  <c r="AA350" i="1"/>
  <c r="AA334" i="1"/>
  <c r="I82" i="1"/>
  <c r="I63" i="1"/>
  <c r="I59" i="1"/>
  <c r="I60" i="1" s="1"/>
  <c r="P216" i="1"/>
  <c r="H85" i="1"/>
  <c r="H87" i="1"/>
  <c r="N219" i="1"/>
  <c r="AE33" i="1"/>
  <c r="AE62" i="1"/>
  <c r="H125" i="1"/>
  <c r="Y412" i="1"/>
  <c r="AC399" i="1"/>
  <c r="N317" i="1"/>
  <c r="K341" i="1"/>
  <c r="K339" i="1"/>
  <c r="Y358" i="1"/>
  <c r="H370" i="1"/>
  <c r="H364" i="1"/>
  <c r="H301" i="1"/>
  <c r="L356" i="1"/>
  <c r="L287" i="1"/>
  <c r="M281" i="1"/>
  <c r="G364" i="1"/>
  <c r="G370" i="1"/>
  <c r="G300" i="1"/>
  <c r="J297" i="1"/>
  <c r="I300" i="1"/>
  <c r="I301" i="1"/>
  <c r="I117" i="1"/>
  <c r="AA335" i="1"/>
  <c r="AA317" i="1"/>
  <c r="AA323" i="1" s="1"/>
  <c r="AA351" i="1"/>
  <c r="O315" i="1"/>
  <c r="L139" i="1"/>
  <c r="L140" i="1" s="1"/>
  <c r="L137" i="1"/>
  <c r="L230" i="1" s="1"/>
  <c r="AC63" i="1"/>
  <c r="AC82" i="1"/>
  <c r="AA35" i="1"/>
  <c r="R185" i="1"/>
  <c r="G127" i="1"/>
  <c r="G128" i="1"/>
  <c r="G130" i="1" s="1"/>
  <c r="AB87" i="1"/>
  <c r="AB85" i="1"/>
  <c r="G369" i="1"/>
  <c r="G363" i="1"/>
  <c r="I402" i="1"/>
  <c r="J402" i="1"/>
  <c r="I403" i="1"/>
  <c r="H369" i="1"/>
  <c r="H363" i="1"/>
  <c r="Y357" i="1"/>
  <c r="Z402" i="1"/>
  <c r="Z403" i="1"/>
  <c r="AD387" i="1"/>
  <c r="Z82" i="1"/>
  <c r="Z63" i="1"/>
  <c r="AC349" i="1"/>
  <c r="AC333" i="1"/>
  <c r="AC315" i="1"/>
  <c r="AC321" i="1" s="1"/>
  <c r="AC326" i="1"/>
  <c r="AE310" i="1"/>
  <c r="Y355" i="1"/>
  <c r="H361" i="1"/>
  <c r="H367" i="1"/>
  <c r="H354" i="1"/>
  <c r="AA333" i="1"/>
  <c r="Q110" i="1"/>
  <c r="G403" i="1"/>
  <c r="G402" i="1"/>
  <c r="Q399" i="1"/>
  <c r="AE351" i="1"/>
  <c r="AE335" i="1"/>
  <c r="K349" i="1"/>
  <c r="K380" i="1" s="1"/>
  <c r="H300" i="1"/>
  <c r="AA348" i="1"/>
  <c r="AA332" i="1"/>
  <c r="AA352" i="1"/>
  <c r="AA336" i="1"/>
  <c r="AA318" i="1"/>
  <c r="AA324" i="1" s="1"/>
  <c r="AE309" i="1"/>
  <c r="O56" i="1"/>
  <c r="N241" i="1"/>
  <c r="O136" i="1"/>
  <c r="J220" i="1"/>
  <c r="J232" i="1"/>
  <c r="K85" i="1"/>
  <c r="K87" i="1"/>
  <c r="I358" i="1"/>
  <c r="Z370" i="1"/>
  <c r="Z364" i="1"/>
  <c r="AA392" i="1"/>
  <c r="AA314" i="1"/>
  <c r="AA401" i="1"/>
  <c r="AA399" i="1"/>
  <c r="J354" i="1"/>
  <c r="J367" i="1"/>
  <c r="J361" i="1"/>
  <c r="I351" i="1"/>
  <c r="I382" i="1" s="1"/>
  <c r="N53" i="1"/>
  <c r="O12" i="1"/>
  <c r="I132" i="1"/>
  <c r="AB402" i="1"/>
  <c r="K340" i="1"/>
  <c r="AE403" i="1"/>
  <c r="AE402" i="1"/>
  <c r="Y316" i="1"/>
  <c r="O316" i="1"/>
  <c r="K351" i="1"/>
  <c r="K382" i="1" s="1"/>
  <c r="J370" i="1"/>
  <c r="J364" i="1"/>
  <c r="AC297" i="1"/>
  <c r="AB43" i="1"/>
  <c r="AB332" i="1"/>
  <c r="AB348" i="1"/>
  <c r="AB379" i="1" s="1"/>
  <c r="AD385" i="1" s="1"/>
  <c r="AB314" i="1"/>
  <c r="AB320" i="1" s="1"/>
  <c r="AC350" i="1"/>
  <c r="AC334" i="1"/>
  <c r="AC316" i="1"/>
  <c r="AC322" i="1" s="1"/>
  <c r="G301" i="1"/>
  <c r="K78" i="1"/>
  <c r="L79" i="1"/>
  <c r="K126" i="1"/>
  <c r="K229" i="1" s="1"/>
  <c r="K59" i="1" s="1"/>
  <c r="K60" i="1" s="1"/>
  <c r="L127" i="1"/>
  <c r="M127" i="1" s="1"/>
  <c r="N127" i="1" s="1"/>
  <c r="O127" i="1" s="1"/>
  <c r="P127" i="1" s="1"/>
  <c r="Q127" i="1" s="1"/>
  <c r="R127" i="1" s="1"/>
  <c r="S127" i="1" s="1"/>
  <c r="T127" i="1" s="1"/>
  <c r="U127" i="1" s="1"/>
  <c r="G232" i="1"/>
  <c r="M212" i="1"/>
  <c r="F87" i="1"/>
  <c r="F85" i="1"/>
  <c r="M383" i="1" l="1"/>
  <c r="L352" i="1"/>
  <c r="O53" i="1"/>
  <c r="O241" i="1"/>
  <c r="P136" i="1"/>
  <c r="Y354" i="1"/>
  <c r="Y360" i="1" s="1"/>
  <c r="Y367" i="1"/>
  <c r="Y361" i="1"/>
  <c r="K145" i="1"/>
  <c r="K149" i="1" s="1"/>
  <c r="K150" i="1" s="1"/>
  <c r="K308" i="1"/>
  <c r="L308" i="1" s="1"/>
  <c r="K310" i="1"/>
  <c r="L310" i="1" s="1"/>
  <c r="K311" i="1"/>
  <c r="K309" i="1"/>
  <c r="I388" i="1"/>
  <c r="J388" i="1"/>
  <c r="AA36" i="1"/>
  <c r="AC36" i="1"/>
  <c r="AA62" i="1"/>
  <c r="Q216" i="1"/>
  <c r="AD85" i="1"/>
  <c r="AD87" i="1"/>
  <c r="Y349" i="1"/>
  <c r="L312" i="1"/>
  <c r="L299" i="1"/>
  <c r="Y314" i="1"/>
  <c r="AA320" i="1" s="1"/>
  <c r="P14" i="1"/>
  <c r="Y87" i="1"/>
  <c r="Y85" i="1"/>
  <c r="K388" i="1"/>
  <c r="L388" i="1" s="1"/>
  <c r="L382" i="1" s="1"/>
  <c r="P56" i="1"/>
  <c r="AC348" i="1"/>
  <c r="AC332" i="1"/>
  <c r="AC87" i="1"/>
  <c r="AC85" i="1"/>
  <c r="Y370" i="1"/>
  <c r="Y364" i="1"/>
  <c r="AE63" i="1"/>
  <c r="AE82" i="1"/>
  <c r="Z348" i="1"/>
  <c r="Z379" i="1" s="1"/>
  <c r="Z385" i="1" s="1"/>
  <c r="K366" i="1"/>
  <c r="K360" i="1"/>
  <c r="AC314" i="1"/>
  <c r="AC320" i="1" s="1"/>
  <c r="L116" i="1"/>
  <c r="M117" i="1"/>
  <c r="O46" i="1"/>
  <c r="P146" i="1"/>
  <c r="O145" i="1"/>
  <c r="AA309" i="1"/>
  <c r="AA311" i="1"/>
  <c r="AA310" i="1"/>
  <c r="AA308" i="1"/>
  <c r="L78" i="1"/>
  <c r="L76" i="1" s="1"/>
  <c r="M79" i="1"/>
  <c r="I370" i="1"/>
  <c r="I364" i="1"/>
  <c r="I352" i="1"/>
  <c r="I383" i="1" s="1"/>
  <c r="K386" i="1"/>
  <c r="L386" i="1" s="1"/>
  <c r="L380" i="1" s="1"/>
  <c r="R110" i="1"/>
  <c r="Y363" i="1"/>
  <c r="Y369" i="1"/>
  <c r="Y351" i="1"/>
  <c r="M287" i="1"/>
  <c r="N281" i="1"/>
  <c r="N356" i="1"/>
  <c r="Q217" i="1"/>
  <c r="AC402" i="1"/>
  <c r="AC403" i="1"/>
  <c r="M247" i="1"/>
  <c r="N186" i="1"/>
  <c r="P316" i="1"/>
  <c r="J360" i="1"/>
  <c r="J366" i="1"/>
  <c r="J348" i="1"/>
  <c r="J379" i="1" s="1"/>
  <c r="K91" i="1"/>
  <c r="K89" i="1"/>
  <c r="K228" i="1"/>
  <c r="K227" i="1" s="1"/>
  <c r="K236" i="1" s="1"/>
  <c r="K88" i="1"/>
  <c r="AB88" i="1"/>
  <c r="AB228" i="1"/>
  <c r="AB234" i="1" s="1"/>
  <c r="AB91" i="1"/>
  <c r="AB89" i="1"/>
  <c r="I310" i="1"/>
  <c r="I311" i="1"/>
  <c r="I308" i="1"/>
  <c r="I309" i="1"/>
  <c r="I85" i="1"/>
  <c r="I87" i="1"/>
  <c r="Y368" i="1"/>
  <c r="Y362" i="1"/>
  <c r="P218" i="1"/>
  <c r="O40" i="1"/>
  <c r="G309" i="1"/>
  <c r="G311" i="1"/>
  <c r="G308" i="1"/>
  <c r="G310" i="1"/>
  <c r="P12" i="1"/>
  <c r="F228" i="1"/>
  <c r="F234" i="1" s="1"/>
  <c r="F91" i="1"/>
  <c r="F89" i="1"/>
  <c r="F88" i="1"/>
  <c r="AC301" i="1"/>
  <c r="AC299" i="1"/>
  <c r="AC300" i="1"/>
  <c r="H366" i="1"/>
  <c r="H360" i="1"/>
  <c r="H348" i="1"/>
  <c r="H379" i="1" s="1"/>
  <c r="M135" i="1"/>
  <c r="L108" i="1"/>
  <c r="O317" i="1"/>
  <c r="O219" i="1"/>
  <c r="J91" i="1"/>
  <c r="J89" i="1"/>
  <c r="J88" i="1"/>
  <c r="J228" i="1"/>
  <c r="J234" i="1" s="1"/>
  <c r="X91" i="1"/>
  <c r="X89" i="1"/>
  <c r="X228" i="1"/>
  <c r="X88" i="1"/>
  <c r="O10" i="1"/>
  <c r="O318" i="1"/>
  <c r="N212" i="1"/>
  <c r="AB300" i="1"/>
  <c r="AA402" i="1"/>
  <c r="AA403" i="1"/>
  <c r="R399" i="1"/>
  <c r="J301" i="1"/>
  <c r="J300" i="1"/>
  <c r="J299" i="1"/>
  <c r="J125" i="1"/>
  <c r="K125" i="1" s="1"/>
  <c r="M356" i="1"/>
  <c r="H88" i="1"/>
  <c r="H228" i="1"/>
  <c r="H234" i="1" s="1"/>
  <c r="H91" i="1"/>
  <c r="H89" i="1"/>
  <c r="M381" i="1"/>
  <c r="L350" i="1"/>
  <c r="L328" i="1" s="1"/>
  <c r="AC324" i="1"/>
  <c r="I368" i="1"/>
  <c r="I362" i="1"/>
  <c r="I350" i="1"/>
  <c r="I381" i="1" s="1"/>
  <c r="I354" i="1"/>
  <c r="I367" i="1"/>
  <c r="I361" i="1"/>
  <c r="I349" i="1"/>
  <c r="I380" i="1" s="1"/>
  <c r="AB301" i="1"/>
  <c r="Y350" i="1"/>
  <c r="Z87" i="1"/>
  <c r="Z85" i="1"/>
  <c r="S185" i="1"/>
  <c r="P315" i="1"/>
  <c r="H311" i="1"/>
  <c r="H309" i="1"/>
  <c r="H308" i="1"/>
  <c r="H310" i="1"/>
  <c r="G360" i="1"/>
  <c r="G366" i="1"/>
  <c r="G348" i="1"/>
  <c r="G379" i="1" s="1"/>
  <c r="G385" i="1" s="1"/>
  <c r="K348" i="1"/>
  <c r="K379" i="1" s="1"/>
  <c r="AD320" i="1"/>
  <c r="AC323" i="1"/>
  <c r="G228" i="1"/>
  <c r="G234" i="1" s="1"/>
  <c r="G88" i="1"/>
  <c r="G91" i="1"/>
  <c r="G89" i="1"/>
  <c r="K440" i="1"/>
  <c r="K484" i="1"/>
  <c r="M382" i="1" l="1"/>
  <c r="L351" i="1"/>
  <c r="M380" i="1"/>
  <c r="L349" i="1"/>
  <c r="Q315" i="1"/>
  <c r="P317" i="1"/>
  <c r="S399" i="1"/>
  <c r="M137" i="1"/>
  <c r="M230" i="1" s="1"/>
  <c r="Q316" i="1"/>
  <c r="R217" i="1"/>
  <c r="AA82" i="1"/>
  <c r="AA63" i="1"/>
  <c r="K385" i="1"/>
  <c r="AB309" i="1"/>
  <c r="AB308" i="1"/>
  <c r="AB310" i="1"/>
  <c r="AB311" i="1"/>
  <c r="K124" i="1"/>
  <c r="K122" i="1" s="1"/>
  <c r="L125" i="1"/>
  <c r="P219" i="1"/>
  <c r="Q218" i="1"/>
  <c r="I389" i="1"/>
  <c r="J389" i="1"/>
  <c r="AC88" i="1"/>
  <c r="AC228" i="1"/>
  <c r="AC234" i="1" s="1"/>
  <c r="AC89" i="1"/>
  <c r="AC91" i="1"/>
  <c r="AD228" i="1"/>
  <c r="AD234" i="1" s="1"/>
  <c r="AD91" i="1"/>
  <c r="AD88" i="1"/>
  <c r="AD89" i="1"/>
  <c r="L346" i="1"/>
  <c r="L394" i="1"/>
  <c r="L334" i="1"/>
  <c r="J385" i="1"/>
  <c r="Y89" i="1"/>
  <c r="Y91" i="1"/>
  <c r="Y88" i="1"/>
  <c r="Y228" i="1"/>
  <c r="T185" i="1"/>
  <c r="M350" i="1"/>
  <c r="M328" i="1" s="1"/>
  <c r="N381" i="1"/>
  <c r="O212" i="1"/>
  <c r="AC308" i="1"/>
  <c r="AC310" i="1"/>
  <c r="AC311" i="1"/>
  <c r="AC309" i="1"/>
  <c r="P145" i="1"/>
  <c r="Q146" i="1"/>
  <c r="R216" i="1"/>
  <c r="Q136" i="1"/>
  <c r="P241" i="1"/>
  <c r="J308" i="1"/>
  <c r="J146" i="1"/>
  <c r="J311" i="1"/>
  <c r="J309" i="1"/>
  <c r="J310" i="1"/>
  <c r="P318" i="1"/>
  <c r="I88" i="1"/>
  <c r="I91" i="1"/>
  <c r="I228" i="1"/>
  <c r="I234" i="1" s="1"/>
  <c r="I89" i="1"/>
  <c r="N79" i="1"/>
  <c r="M78" i="1"/>
  <c r="M76" i="1" s="1"/>
  <c r="P46" i="1"/>
  <c r="AE87" i="1"/>
  <c r="AE85" i="1"/>
  <c r="Q14" i="1"/>
  <c r="L304" i="1"/>
  <c r="L282" i="1" s="1"/>
  <c r="M310" i="1"/>
  <c r="Q56" i="1"/>
  <c r="P53" i="1"/>
  <c r="S110" i="1"/>
  <c r="M308" i="1"/>
  <c r="L311" i="1"/>
  <c r="L305" i="1" s="1"/>
  <c r="L283" i="1" s="1"/>
  <c r="L302" i="1"/>
  <c r="L280" i="1" s="1"/>
  <c r="Z228" i="1"/>
  <c r="Z234" i="1" s="1"/>
  <c r="Z89" i="1"/>
  <c r="Z88" i="1"/>
  <c r="Z91" i="1"/>
  <c r="H385" i="1"/>
  <c r="K153" i="1"/>
  <c r="L144" i="1"/>
  <c r="P40" i="1"/>
  <c r="O281" i="1"/>
  <c r="N287" i="1"/>
  <c r="L206" i="1"/>
  <c r="L210" i="1"/>
  <c r="M297" i="1"/>
  <c r="L279" i="1"/>
  <c r="L42" i="1"/>
  <c r="Y348" i="1"/>
  <c r="I386" i="1"/>
  <c r="J386" i="1"/>
  <c r="I360" i="1"/>
  <c r="I366" i="1"/>
  <c r="I348" i="1"/>
  <c r="I379" i="1" s="1"/>
  <c r="I385" i="1" s="1"/>
  <c r="L252" i="1"/>
  <c r="L233" i="1"/>
  <c r="I387" i="1"/>
  <c r="J387" i="1"/>
  <c r="P10" i="1"/>
  <c r="N117" i="1"/>
  <c r="Q12" i="1"/>
  <c r="N247" i="1"/>
  <c r="O186" i="1"/>
  <c r="AB385" i="1"/>
  <c r="N383" i="1"/>
  <c r="M352" i="1"/>
  <c r="O383" i="1" l="1"/>
  <c r="N352" i="1"/>
  <c r="Q40" i="1"/>
  <c r="Q318" i="1"/>
  <c r="L355" i="1"/>
  <c r="L327" i="1" s="1"/>
  <c r="L286" i="1"/>
  <c r="L292" i="1"/>
  <c r="M252" i="1"/>
  <c r="M233" i="1"/>
  <c r="S216" i="1"/>
  <c r="O117" i="1"/>
  <c r="L285" i="1"/>
  <c r="L38" i="1"/>
  <c r="L37" i="1" s="1"/>
  <c r="L293" i="1"/>
  <c r="AE88" i="1"/>
  <c r="AE89" i="1"/>
  <c r="AE91" i="1"/>
  <c r="K240" i="1"/>
  <c r="K261" i="1" s="1"/>
  <c r="K262" i="1" s="1"/>
  <c r="K128" i="1"/>
  <c r="K129" i="1" s="1"/>
  <c r="Q317" i="1"/>
  <c r="R136" i="1"/>
  <c r="Q241" i="1"/>
  <c r="R315" i="1"/>
  <c r="L147" i="1"/>
  <c r="L231" i="1" s="1"/>
  <c r="L249" i="1" s="1"/>
  <c r="L149" i="1"/>
  <c r="L150" i="1" s="1"/>
  <c r="P212" i="1"/>
  <c r="N308" i="1"/>
  <c r="M302" i="1"/>
  <c r="M280" i="1" s="1"/>
  <c r="M311" i="1"/>
  <c r="M305" i="1" s="1"/>
  <c r="M283" i="1" s="1"/>
  <c r="R146" i="1"/>
  <c r="Q145" i="1"/>
  <c r="R14" i="1"/>
  <c r="M346" i="1"/>
  <c r="M334" i="1"/>
  <c r="M394" i="1"/>
  <c r="M139" i="1"/>
  <c r="M140" i="1" s="1"/>
  <c r="N380" i="1"/>
  <c r="M349" i="1"/>
  <c r="Q10" i="1"/>
  <c r="L358" i="1"/>
  <c r="L330" i="1" s="1"/>
  <c r="L289" i="1"/>
  <c r="L295" i="1"/>
  <c r="O247" i="1"/>
  <c r="P186" i="1"/>
  <c r="L294" i="1"/>
  <c r="L357" i="1"/>
  <c r="L329" i="1" s="1"/>
  <c r="L288" i="1"/>
  <c r="N350" i="1"/>
  <c r="N328" i="1" s="1"/>
  <c r="O381" i="1"/>
  <c r="R218" i="1"/>
  <c r="P356" i="1"/>
  <c r="P281" i="1"/>
  <c r="O287" i="1"/>
  <c r="T110" i="1"/>
  <c r="Q219" i="1"/>
  <c r="M312" i="1"/>
  <c r="M299" i="1"/>
  <c r="Q46" i="1"/>
  <c r="S217" i="1"/>
  <c r="R56" i="1"/>
  <c r="R316" i="1"/>
  <c r="M304" i="1"/>
  <c r="M282" i="1" s="1"/>
  <c r="N310" i="1"/>
  <c r="N78" i="1"/>
  <c r="N76" i="1" s="1"/>
  <c r="O79" i="1"/>
  <c r="R12" i="1"/>
  <c r="O356" i="1"/>
  <c r="Q53" i="1"/>
  <c r="U185" i="1"/>
  <c r="M125" i="1"/>
  <c r="L124" i="1"/>
  <c r="L122" i="1" s="1"/>
  <c r="L240" i="1" s="1"/>
  <c r="AA87" i="1"/>
  <c r="AA85" i="1"/>
  <c r="T399" i="1"/>
  <c r="N382" i="1"/>
  <c r="M351" i="1"/>
  <c r="M295" i="1" l="1"/>
  <c r="M289" i="1"/>
  <c r="M358" i="1"/>
  <c r="M330" i="1" s="1"/>
  <c r="L345" i="1"/>
  <c r="L333" i="1"/>
  <c r="L339" i="1"/>
  <c r="L326" i="1"/>
  <c r="L393" i="1"/>
  <c r="M288" i="1"/>
  <c r="M294" i="1"/>
  <c r="N282" i="1"/>
  <c r="N357" i="1" s="1"/>
  <c r="M357" i="1"/>
  <c r="M329" i="1" s="1"/>
  <c r="L335" i="1"/>
  <c r="L341" i="1"/>
  <c r="L395" i="1"/>
  <c r="N355" i="1"/>
  <c r="N280" i="1"/>
  <c r="M292" i="1"/>
  <c r="M286" i="1"/>
  <c r="M355" i="1"/>
  <c r="M327" i="1" s="1"/>
  <c r="AA228" i="1"/>
  <c r="AA234" i="1" s="1"/>
  <c r="AA88" i="1"/>
  <c r="AA91" i="1"/>
  <c r="AA89" i="1"/>
  <c r="P79" i="1"/>
  <c r="O78" i="1"/>
  <c r="O76" i="1" s="1"/>
  <c r="T217" i="1"/>
  <c r="R219" i="1"/>
  <c r="S218" i="1"/>
  <c r="Q186" i="1"/>
  <c r="P247" i="1"/>
  <c r="R10" i="1"/>
  <c r="Q212" i="1"/>
  <c r="R318" i="1"/>
  <c r="O382" i="1"/>
  <c r="N351" i="1"/>
  <c r="N233" i="1"/>
  <c r="N252" i="1"/>
  <c r="O350" i="1"/>
  <c r="O328" i="1" s="1"/>
  <c r="P381" i="1"/>
  <c r="R317" i="1"/>
  <c r="M279" i="1"/>
  <c r="N297" i="1"/>
  <c r="M42" i="1"/>
  <c r="M116" i="1"/>
  <c r="S12" i="1"/>
  <c r="L354" i="1"/>
  <c r="N125" i="1"/>
  <c r="M124" i="1"/>
  <c r="M122" i="1" s="1"/>
  <c r="M240" i="1" s="1"/>
  <c r="S56" i="1"/>
  <c r="L342" i="1"/>
  <c r="L336" i="1"/>
  <c r="L396" i="1"/>
  <c r="O308" i="1"/>
  <c r="N311" i="1"/>
  <c r="N305" i="1" s="1"/>
  <c r="N283" i="1" s="1"/>
  <c r="N302" i="1"/>
  <c r="R241" i="1"/>
  <c r="S136" i="1"/>
  <c r="T216" i="1"/>
  <c r="U399" i="1"/>
  <c r="O310" i="1"/>
  <c r="N304" i="1"/>
  <c r="R46" i="1"/>
  <c r="U110" i="1"/>
  <c r="N346" i="1"/>
  <c r="N334" i="1"/>
  <c r="N394" i="1"/>
  <c r="S14" i="1"/>
  <c r="L153" i="1"/>
  <c r="M144" i="1"/>
  <c r="L106" i="1"/>
  <c r="R40" i="1"/>
  <c r="R53" i="1"/>
  <c r="O380" i="1"/>
  <c r="N349" i="1"/>
  <c r="N327" i="1" s="1"/>
  <c r="K131" i="1"/>
  <c r="K132" i="1" s="1"/>
  <c r="L121" i="1"/>
  <c r="S316" i="1"/>
  <c r="Q281" i="1"/>
  <c r="P287" i="1"/>
  <c r="M108" i="1"/>
  <c r="N135" i="1"/>
  <c r="R145" i="1"/>
  <c r="S146" i="1"/>
  <c r="S315" i="1"/>
  <c r="P117" i="1"/>
  <c r="O352" i="1"/>
  <c r="P383" i="1"/>
  <c r="M333" i="1" l="1"/>
  <c r="M345" i="1"/>
  <c r="M326" i="1"/>
  <c r="M339" i="1"/>
  <c r="M393" i="1"/>
  <c r="M341" i="1"/>
  <c r="M335" i="1"/>
  <c r="M395" i="1"/>
  <c r="N289" i="1"/>
  <c r="N358" i="1"/>
  <c r="N330" i="1" s="1"/>
  <c r="O311" i="1"/>
  <c r="O305" i="1" s="1"/>
  <c r="O283" i="1" s="1"/>
  <c r="P308" i="1"/>
  <c r="O302" i="1"/>
  <c r="P382" i="1"/>
  <c r="O351" i="1"/>
  <c r="P352" i="1"/>
  <c r="Q383" i="1"/>
  <c r="N137" i="1"/>
  <c r="N230" i="1" s="1"/>
  <c r="P310" i="1"/>
  <c r="O304" i="1"/>
  <c r="N124" i="1"/>
  <c r="N122" i="1" s="1"/>
  <c r="N240" i="1" s="1"/>
  <c r="O125" i="1"/>
  <c r="N329" i="1"/>
  <c r="Q79" i="1"/>
  <c r="P78" i="1"/>
  <c r="P76" i="1" s="1"/>
  <c r="Q117" i="1"/>
  <c r="N345" i="1"/>
  <c r="N333" i="1"/>
  <c r="N393" i="1"/>
  <c r="L187" i="1"/>
  <c r="L180" i="1"/>
  <c r="T12" i="1"/>
  <c r="S317" i="1"/>
  <c r="M336" i="1"/>
  <c r="M342" i="1"/>
  <c r="M396" i="1"/>
  <c r="T315" i="1"/>
  <c r="R281" i="1"/>
  <c r="Q287" i="1"/>
  <c r="P380" i="1"/>
  <c r="O349" i="1"/>
  <c r="O327" i="1" s="1"/>
  <c r="U216" i="1"/>
  <c r="M206" i="1"/>
  <c r="M210" i="1"/>
  <c r="P350" i="1"/>
  <c r="P328" i="1" s="1"/>
  <c r="Q381" i="1"/>
  <c r="T218" i="1"/>
  <c r="O280" i="1"/>
  <c r="O355" i="1"/>
  <c r="N286" i="1"/>
  <c r="L126" i="1"/>
  <c r="L229" i="1" s="1"/>
  <c r="L45" i="1" s="1"/>
  <c r="L128" i="1"/>
  <c r="L129" i="1" s="1"/>
  <c r="O233" i="1"/>
  <c r="O252" i="1"/>
  <c r="Q247" i="1"/>
  <c r="R186" i="1"/>
  <c r="O346" i="1"/>
  <c r="O334" i="1"/>
  <c r="O394" i="1"/>
  <c r="S145" i="1"/>
  <c r="T146" i="1"/>
  <c r="T316" i="1"/>
  <c r="S53" i="1"/>
  <c r="S46" i="1"/>
  <c r="T56" i="1"/>
  <c r="N299" i="1"/>
  <c r="N312" i="1"/>
  <c r="S219" i="1"/>
  <c r="L391" i="1"/>
  <c r="M354" i="1"/>
  <c r="M149" i="1"/>
  <c r="M150" i="1" s="1"/>
  <c r="M147" i="1"/>
  <c r="M231" i="1" s="1"/>
  <c r="M249" i="1" s="1"/>
  <c r="S318" i="1"/>
  <c r="N288" i="1"/>
  <c r="O282" i="1"/>
  <c r="Q356" i="1"/>
  <c r="T14" i="1"/>
  <c r="S241" i="1"/>
  <c r="T136" i="1"/>
  <c r="R212" i="1"/>
  <c r="N354" i="1"/>
  <c r="S40" i="1"/>
  <c r="M285" i="1"/>
  <c r="M38" i="1"/>
  <c r="M37" i="1" s="1"/>
  <c r="M293" i="1"/>
  <c r="S10" i="1"/>
  <c r="U217" i="1"/>
  <c r="L348" i="1"/>
  <c r="L332" i="1"/>
  <c r="L340" i="1"/>
  <c r="O289" i="1" l="1"/>
  <c r="O358" i="1"/>
  <c r="O330" i="1" s="1"/>
  <c r="U56" i="1"/>
  <c r="U12" i="1"/>
  <c r="P304" i="1"/>
  <c r="Q310" i="1"/>
  <c r="T10" i="1"/>
  <c r="S212" i="1"/>
  <c r="U218" i="1"/>
  <c r="L392" i="1"/>
  <c r="L366" i="1"/>
  <c r="L314" i="1"/>
  <c r="L320" i="1" s="1"/>
  <c r="L398" i="1"/>
  <c r="L401" i="1" s="1"/>
  <c r="P252" i="1"/>
  <c r="P233" i="1"/>
  <c r="L131" i="1"/>
  <c r="L132" i="1" s="1"/>
  <c r="M121" i="1"/>
  <c r="L105" i="1"/>
  <c r="L103" i="1" s="1"/>
  <c r="P349" i="1"/>
  <c r="Q380" i="1"/>
  <c r="N391" i="1"/>
  <c r="R79" i="1"/>
  <c r="Q78" i="1"/>
  <c r="Q76" i="1" s="1"/>
  <c r="R383" i="1"/>
  <c r="Q352" i="1"/>
  <c r="M391" i="1"/>
  <c r="T241" i="1"/>
  <c r="U136" i="1"/>
  <c r="U241" i="1" s="1"/>
  <c r="N335" i="1"/>
  <c r="N395" i="1"/>
  <c r="N279" i="1"/>
  <c r="O297" i="1"/>
  <c r="N42" i="1"/>
  <c r="N116" i="1"/>
  <c r="U316" i="1"/>
  <c r="R247" i="1"/>
  <c r="S186" i="1"/>
  <c r="S356" i="1"/>
  <c r="R287" i="1"/>
  <c r="S281" i="1"/>
  <c r="N326" i="1"/>
  <c r="P351" i="1"/>
  <c r="Q382" i="1"/>
  <c r="N144" i="1"/>
  <c r="M106" i="1"/>
  <c r="M153" i="1"/>
  <c r="M180" i="1" s="1"/>
  <c r="U315" i="1"/>
  <c r="R117" i="1"/>
  <c r="P311" i="1"/>
  <c r="P305" i="1" s="1"/>
  <c r="P283" i="1" s="1"/>
  <c r="Q308" i="1"/>
  <c r="P302" i="1"/>
  <c r="P280" i="1" s="1"/>
  <c r="P282" i="1"/>
  <c r="P357" i="1" s="1"/>
  <c r="O288" i="1"/>
  <c r="T46" i="1"/>
  <c r="O345" i="1"/>
  <c r="O333" i="1"/>
  <c r="O393" i="1"/>
  <c r="L183" i="1"/>
  <c r="N139" i="1"/>
  <c r="N140" i="1" s="1"/>
  <c r="R381" i="1"/>
  <c r="Q350" i="1"/>
  <c r="Q328" i="1" s="1"/>
  <c r="N336" i="1"/>
  <c r="N342" i="1"/>
  <c r="N396" i="1"/>
  <c r="O357" i="1"/>
  <c r="O354" i="1" s="1"/>
  <c r="T219" i="1"/>
  <c r="T53" i="1"/>
  <c r="P334" i="1"/>
  <c r="P346" i="1"/>
  <c r="P394" i="1"/>
  <c r="T318" i="1"/>
  <c r="T317" i="1"/>
  <c r="P125" i="1"/>
  <c r="M332" i="1"/>
  <c r="M348" i="1"/>
  <c r="M340" i="1"/>
  <c r="T40" i="1"/>
  <c r="U14" i="1"/>
  <c r="U146" i="1"/>
  <c r="U145" i="1" s="1"/>
  <c r="T145" i="1"/>
  <c r="O286" i="1"/>
  <c r="R356" i="1"/>
  <c r="L402" i="1" l="1"/>
  <c r="L8" i="1"/>
  <c r="P286" i="1"/>
  <c r="P355" i="1"/>
  <c r="P289" i="1"/>
  <c r="P358" i="1"/>
  <c r="P330" i="1" s="1"/>
  <c r="U219" i="1"/>
  <c r="Q349" i="1"/>
  <c r="R380" i="1"/>
  <c r="O329" i="1"/>
  <c r="U46" i="1"/>
  <c r="N149" i="1"/>
  <c r="N150" i="1" s="1"/>
  <c r="N147" i="1"/>
  <c r="N231" i="1" s="1"/>
  <c r="N249" i="1" s="1"/>
  <c r="P327" i="1"/>
  <c r="U318" i="1"/>
  <c r="U53" i="1"/>
  <c r="T356" i="1"/>
  <c r="S287" i="1"/>
  <c r="T281" i="1"/>
  <c r="S79" i="1"/>
  <c r="R78" i="1"/>
  <c r="R76" i="1" s="1"/>
  <c r="N392" i="1"/>
  <c r="N401" i="1"/>
  <c r="N314" i="1"/>
  <c r="N320" i="1" s="1"/>
  <c r="N366" i="1"/>
  <c r="N398" i="1"/>
  <c r="N206" i="1"/>
  <c r="N210" i="1"/>
  <c r="R308" i="1"/>
  <c r="Q311" i="1"/>
  <c r="Q305" i="1" s="1"/>
  <c r="Q283" i="1" s="1"/>
  <c r="Q302" i="1"/>
  <c r="Q280" i="1" s="1"/>
  <c r="O336" i="1"/>
  <c r="O396" i="1"/>
  <c r="O312" i="1"/>
  <c r="O299" i="1"/>
  <c r="O124" i="1"/>
  <c r="O122" i="1" s="1"/>
  <c r="O240" i="1" s="1"/>
  <c r="M187" i="1"/>
  <c r="S117" i="1"/>
  <c r="Q351" i="1"/>
  <c r="R382" i="1"/>
  <c r="N285" i="1"/>
  <c r="N38" i="1"/>
  <c r="N37" i="1" s="1"/>
  <c r="N293" i="1"/>
  <c r="N294" i="1"/>
  <c r="N292" i="1"/>
  <c r="N295" i="1"/>
  <c r="M126" i="1"/>
  <c r="M229" i="1" s="1"/>
  <c r="M45" i="1" s="1"/>
  <c r="M128" i="1"/>
  <c r="M129" i="1" s="1"/>
  <c r="Q334" i="1"/>
  <c r="Q346" i="1"/>
  <c r="Q394" i="1"/>
  <c r="U40" i="1"/>
  <c r="P329" i="1"/>
  <c r="S247" i="1"/>
  <c r="T186" i="1"/>
  <c r="S383" i="1"/>
  <c r="R352" i="1"/>
  <c r="P288" i="1"/>
  <c r="T212" i="1"/>
  <c r="S381" i="1"/>
  <c r="R350" i="1"/>
  <c r="R328" i="1" s="1"/>
  <c r="N108" i="1"/>
  <c r="O135" i="1"/>
  <c r="U10" i="1"/>
  <c r="Q125" i="1"/>
  <c r="M392" i="1"/>
  <c r="M314" i="1"/>
  <c r="M320" i="1" s="1"/>
  <c r="M398" i="1"/>
  <c r="M401" i="1" s="1"/>
  <c r="M366" i="1"/>
  <c r="R310" i="1"/>
  <c r="Q304" i="1"/>
  <c r="Q282" i="1" s="1"/>
  <c r="U317" i="1"/>
  <c r="N332" i="1"/>
  <c r="N348" i="1"/>
  <c r="N340" i="1"/>
  <c r="N339" i="1"/>
  <c r="N341" i="1"/>
  <c r="Q252" i="1"/>
  <c r="Q233" i="1"/>
  <c r="Q288" i="1" l="1"/>
  <c r="R282" i="1"/>
  <c r="Q357" i="1"/>
  <c r="R280" i="1"/>
  <c r="R355" i="1" s="1"/>
  <c r="Q286" i="1"/>
  <c r="Q355" i="1"/>
  <c r="Q289" i="1"/>
  <c r="Q358" i="1"/>
  <c r="Q330" i="1" s="1"/>
  <c r="M402" i="1"/>
  <c r="M8" i="1"/>
  <c r="R125" i="1"/>
  <c r="S310" i="1"/>
  <c r="R304" i="1"/>
  <c r="U186" i="1"/>
  <c r="T247" i="1"/>
  <c r="L5" i="1"/>
  <c r="L9" i="1"/>
  <c r="L19" i="1"/>
  <c r="R252" i="1"/>
  <c r="R233" i="1"/>
  <c r="O335" i="1"/>
  <c r="O395" i="1"/>
  <c r="O391" i="1" s="1"/>
  <c r="O326" i="1"/>
  <c r="N121" i="1"/>
  <c r="M131" i="1"/>
  <c r="M132" i="1" s="1"/>
  <c r="M105" i="1"/>
  <c r="M103" i="1" s="1"/>
  <c r="O279" i="1"/>
  <c r="P297" i="1"/>
  <c r="O42" i="1"/>
  <c r="O116" i="1"/>
  <c r="Q327" i="1"/>
  <c r="S350" i="1"/>
  <c r="S328" i="1" s="1"/>
  <c r="T381" i="1"/>
  <c r="R351" i="1"/>
  <c r="S382" i="1"/>
  <c r="T287" i="1"/>
  <c r="U281" i="1"/>
  <c r="P345" i="1"/>
  <c r="P326" i="1"/>
  <c r="P339" i="1"/>
  <c r="P333" i="1"/>
  <c r="P393" i="1"/>
  <c r="P391" i="1" s="1"/>
  <c r="P354" i="1"/>
  <c r="Q329" i="1"/>
  <c r="T383" i="1"/>
  <c r="S352" i="1"/>
  <c r="N402" i="1"/>
  <c r="N8" i="1"/>
  <c r="M183" i="1"/>
  <c r="R311" i="1"/>
  <c r="R305" i="1" s="1"/>
  <c r="R283" i="1" s="1"/>
  <c r="S308" i="1"/>
  <c r="R302" i="1"/>
  <c r="P335" i="1"/>
  <c r="P341" i="1"/>
  <c r="P395" i="1"/>
  <c r="T79" i="1"/>
  <c r="S78" i="1"/>
  <c r="S76" i="1" s="1"/>
  <c r="R349" i="1"/>
  <c r="S380" i="1"/>
  <c r="U212" i="1"/>
  <c r="N106" i="1"/>
  <c r="O144" i="1"/>
  <c r="N153" i="1"/>
  <c r="N180" i="1" s="1"/>
  <c r="T117" i="1"/>
  <c r="P342" i="1"/>
  <c r="P336" i="1"/>
  <c r="P396" i="1"/>
  <c r="O137" i="1"/>
  <c r="O230" i="1" s="1"/>
  <c r="R334" i="1"/>
  <c r="R346" i="1"/>
  <c r="R394" i="1"/>
  <c r="R289" i="1" l="1"/>
  <c r="S283" i="1"/>
  <c r="R358" i="1"/>
  <c r="R330" i="1" s="1"/>
  <c r="Q335" i="1"/>
  <c r="Q395" i="1"/>
  <c r="U287" i="1"/>
  <c r="Q342" i="1"/>
  <c r="Q336" i="1"/>
  <c r="Q396" i="1"/>
  <c r="R286" i="1"/>
  <c r="S280" i="1"/>
  <c r="O139" i="1"/>
  <c r="O140" i="1" s="1"/>
  <c r="Q339" i="1"/>
  <c r="Q333" i="1"/>
  <c r="Q345" i="1"/>
  <c r="Q326" i="1"/>
  <c r="Q393" i="1"/>
  <c r="N126" i="1"/>
  <c r="N229" i="1" s="1"/>
  <c r="N45" i="1" s="1"/>
  <c r="N54" i="1" s="1"/>
  <c r="N128" i="1"/>
  <c r="N129" i="1" s="1"/>
  <c r="U247" i="1"/>
  <c r="N187" i="1"/>
  <c r="O147" i="1"/>
  <c r="O231" i="1" s="1"/>
  <c r="O249" i="1" s="1"/>
  <c r="S334" i="1"/>
  <c r="S346" i="1"/>
  <c r="S394" i="1"/>
  <c r="N9" i="1"/>
  <c r="N5" i="1"/>
  <c r="N19" i="1"/>
  <c r="U356" i="1"/>
  <c r="T310" i="1"/>
  <c r="S304" i="1"/>
  <c r="S282" i="1" s="1"/>
  <c r="S349" i="1"/>
  <c r="T380" i="1"/>
  <c r="S351" i="1"/>
  <c r="T382" i="1"/>
  <c r="O332" i="1"/>
  <c r="O348" i="1"/>
  <c r="O340" i="1"/>
  <c r="O339" i="1"/>
  <c r="O342" i="1"/>
  <c r="U117" i="1"/>
  <c r="P299" i="1"/>
  <c r="P312" i="1"/>
  <c r="P124" i="1"/>
  <c r="P122" i="1" s="1"/>
  <c r="P240" i="1" s="1"/>
  <c r="O401" i="1"/>
  <c r="O366" i="1"/>
  <c r="O392" i="1"/>
  <c r="O314" i="1"/>
  <c r="O320" i="1" s="1"/>
  <c r="O398" i="1"/>
  <c r="Q354" i="1"/>
  <c r="T78" i="1"/>
  <c r="T76" i="1" s="1"/>
  <c r="U79" i="1"/>
  <c r="U78" i="1" s="1"/>
  <c r="U76" i="1" s="1"/>
  <c r="U381" i="1"/>
  <c r="U350" i="1" s="1"/>
  <c r="U328" i="1" s="1"/>
  <c r="T350" i="1"/>
  <c r="T328" i="1" s="1"/>
  <c r="P392" i="1"/>
  <c r="P314" i="1"/>
  <c r="P320" i="1" s="1"/>
  <c r="P366" i="1"/>
  <c r="P398" i="1"/>
  <c r="P401" i="1" s="1"/>
  <c r="O206" i="1"/>
  <c r="O210" i="1"/>
  <c r="S125" i="1"/>
  <c r="R288" i="1"/>
  <c r="R327" i="1"/>
  <c r="S252" i="1"/>
  <c r="S233" i="1"/>
  <c r="S311" i="1"/>
  <c r="S305" i="1" s="1"/>
  <c r="T308" i="1"/>
  <c r="S302" i="1"/>
  <c r="U383" i="1"/>
  <c r="U352" i="1" s="1"/>
  <c r="T352" i="1"/>
  <c r="P348" i="1"/>
  <c r="P332" i="1"/>
  <c r="P340" i="1"/>
  <c r="O285" i="1"/>
  <c r="O38" i="1"/>
  <c r="O37" i="1" s="1"/>
  <c r="O293" i="1"/>
  <c r="O295" i="1"/>
  <c r="O294" i="1"/>
  <c r="O292" i="1"/>
  <c r="O341" i="1"/>
  <c r="L65" i="1"/>
  <c r="L207" i="1"/>
  <c r="L174" i="1" s="1"/>
  <c r="L48" i="1"/>
  <c r="L6" i="1"/>
  <c r="L23" i="1"/>
  <c r="L68" i="1"/>
  <c r="L205" i="1"/>
  <c r="L158" i="1" s="1"/>
  <c r="L32" i="1"/>
  <c r="L21" i="1"/>
  <c r="L22" i="1"/>
  <c r="L208" i="1"/>
  <c r="L175" i="1" s="1"/>
  <c r="L209" i="1"/>
  <c r="L181" i="1" s="1"/>
  <c r="L20" i="1"/>
  <c r="L55" i="1"/>
  <c r="L44" i="1"/>
  <c r="L35" i="1" s="1"/>
  <c r="L36" i="1" s="1"/>
  <c r="L204" i="1"/>
  <c r="L52" i="1"/>
  <c r="L51" i="1"/>
  <c r="L54" i="1"/>
  <c r="M9" i="1"/>
  <c r="M5" i="1"/>
  <c r="R357" i="1"/>
  <c r="R354" i="1" s="1"/>
  <c r="S288" i="1" l="1"/>
  <c r="S357" i="1"/>
  <c r="P402" i="1"/>
  <c r="P8" i="1"/>
  <c r="T346" i="1"/>
  <c r="T334" i="1"/>
  <c r="T394" i="1"/>
  <c r="N183" i="1"/>
  <c r="R336" i="1"/>
  <c r="R396" i="1"/>
  <c r="L203" i="1"/>
  <c r="L159" i="1"/>
  <c r="L62" i="1"/>
  <c r="L25" i="1"/>
  <c r="U346" i="1"/>
  <c r="U334" i="1"/>
  <c r="U394" i="1"/>
  <c r="O402" i="1"/>
  <c r="O8" i="1"/>
  <c r="T349" i="1"/>
  <c r="U380" i="1"/>
  <c r="U349" i="1" s="1"/>
  <c r="R345" i="1"/>
  <c r="R333" i="1"/>
  <c r="R393" i="1"/>
  <c r="U252" i="1"/>
  <c r="U233" i="1"/>
  <c r="S327" i="1"/>
  <c r="O108" i="1"/>
  <c r="P135" i="1"/>
  <c r="S289" i="1"/>
  <c r="M23" i="1"/>
  <c r="M65" i="1"/>
  <c r="M68" i="1"/>
  <c r="M6" i="1"/>
  <c r="M205" i="1"/>
  <c r="M158" i="1" s="1"/>
  <c r="M32" i="1"/>
  <c r="M48" i="1"/>
  <c r="M21" i="1"/>
  <c r="M22" i="1"/>
  <c r="M208" i="1"/>
  <c r="M175" i="1" s="1"/>
  <c r="M207" i="1"/>
  <c r="M174" i="1" s="1"/>
  <c r="M172" i="1" s="1"/>
  <c r="M190" i="1" s="1"/>
  <c r="M44" i="1"/>
  <c r="M35" i="1" s="1"/>
  <c r="M36" i="1" s="1"/>
  <c r="M20" i="1"/>
  <c r="M209" i="1"/>
  <c r="M181" i="1" s="1"/>
  <c r="M55" i="1"/>
  <c r="M204" i="1"/>
  <c r="M52" i="1"/>
  <c r="M51" i="1"/>
  <c r="M54" i="1"/>
  <c r="T252" i="1"/>
  <c r="T233" i="1"/>
  <c r="P279" i="1"/>
  <c r="Q297" i="1"/>
  <c r="P42" i="1"/>
  <c r="P116" i="1"/>
  <c r="O121" i="1"/>
  <c r="N105" i="1"/>
  <c r="N103" i="1" s="1"/>
  <c r="N131" i="1"/>
  <c r="N132" i="1" s="1"/>
  <c r="S286" i="1"/>
  <c r="U310" i="1"/>
  <c r="U304" i="1" s="1"/>
  <c r="T304" i="1"/>
  <c r="T282" i="1" s="1"/>
  <c r="S358" i="1"/>
  <c r="S330" i="1" s="1"/>
  <c r="M19" i="1"/>
  <c r="R329" i="1"/>
  <c r="Q391" i="1"/>
  <c r="S355" i="1"/>
  <c r="T311" i="1"/>
  <c r="T305" i="1" s="1"/>
  <c r="T283" i="1" s="1"/>
  <c r="U308" i="1"/>
  <c r="T302" i="1"/>
  <c r="T280" i="1" s="1"/>
  <c r="Q348" i="1"/>
  <c r="Q332" i="1"/>
  <c r="Q340" i="1"/>
  <c r="Q341" i="1"/>
  <c r="L172" i="1"/>
  <c r="L190" i="1" s="1"/>
  <c r="T125" i="1"/>
  <c r="T351" i="1"/>
  <c r="U382" i="1"/>
  <c r="U351" i="1" s="1"/>
  <c r="N68" i="1"/>
  <c r="N32" i="1"/>
  <c r="N65" i="1"/>
  <c r="N23" i="1"/>
  <c r="N6" i="1"/>
  <c r="N205" i="1"/>
  <c r="N158" i="1" s="1"/>
  <c r="N207" i="1"/>
  <c r="N174" i="1" s="1"/>
  <c r="N21" i="1"/>
  <c r="N208" i="1"/>
  <c r="N175" i="1" s="1"/>
  <c r="N48" i="1"/>
  <c r="N22" i="1"/>
  <c r="N209" i="1"/>
  <c r="N181" i="1" s="1"/>
  <c r="N44" i="1"/>
  <c r="N35" i="1" s="1"/>
  <c r="N36" i="1" s="1"/>
  <c r="N20" i="1"/>
  <c r="N55" i="1"/>
  <c r="N204" i="1"/>
  <c r="N52" i="1"/>
  <c r="N51" i="1"/>
  <c r="O149" i="1"/>
  <c r="O150" i="1" s="1"/>
  <c r="S329" i="1"/>
  <c r="T286" i="1" l="1"/>
  <c r="T355" i="1"/>
  <c r="U357" i="1"/>
  <c r="U329" i="1" s="1"/>
  <c r="U282" i="1"/>
  <c r="T288" i="1"/>
  <c r="T357" i="1"/>
  <c r="T329" i="1" s="1"/>
  <c r="T289" i="1"/>
  <c r="U283" i="1"/>
  <c r="T358" i="1"/>
  <c r="T330" i="1" s="1"/>
  <c r="S336" i="1"/>
  <c r="S396" i="1"/>
  <c r="P9" i="1"/>
  <c r="P5" i="1"/>
  <c r="S335" i="1"/>
  <c r="S395" i="1"/>
  <c r="P137" i="1"/>
  <c r="P230" i="1" s="1"/>
  <c r="P139" i="1"/>
  <c r="P140" i="1" s="1"/>
  <c r="O106" i="1"/>
  <c r="P144" i="1"/>
  <c r="O153" i="1"/>
  <c r="O126" i="1"/>
  <c r="O229" i="1" s="1"/>
  <c r="O45" i="1" s="1"/>
  <c r="O54" i="1" s="1"/>
  <c r="O128" i="1"/>
  <c r="O129" i="1" s="1"/>
  <c r="N25" i="1"/>
  <c r="N62" i="1"/>
  <c r="P206" i="1"/>
  <c r="P210" i="1"/>
  <c r="S333" i="1"/>
  <c r="S345" i="1"/>
  <c r="S326" i="1"/>
  <c r="S393" i="1"/>
  <c r="S354" i="1"/>
  <c r="L63" i="1"/>
  <c r="L59" i="1"/>
  <c r="L60" i="1" s="1"/>
  <c r="L82" i="1"/>
  <c r="N203" i="1"/>
  <c r="N159" i="1"/>
  <c r="Q366" i="1"/>
  <c r="Q392" i="1"/>
  <c r="Q314" i="1"/>
  <c r="Q320" i="1" s="1"/>
  <c r="Q398" i="1"/>
  <c r="Q401" i="1" s="1"/>
  <c r="Q299" i="1"/>
  <c r="Q312" i="1"/>
  <c r="Q124" i="1"/>
  <c r="Q122" i="1" s="1"/>
  <c r="Q240" i="1" s="1"/>
  <c r="M203" i="1"/>
  <c r="M159" i="1"/>
  <c r="O5" i="1"/>
  <c r="O19" i="1"/>
  <c r="O9" i="1"/>
  <c r="N172" i="1"/>
  <c r="N190" i="1" s="1"/>
  <c r="R341" i="1"/>
  <c r="R335" i="1"/>
  <c r="R395" i="1"/>
  <c r="R391" i="1" s="1"/>
  <c r="P285" i="1"/>
  <c r="P38" i="1"/>
  <c r="P37" i="1" s="1"/>
  <c r="P293" i="1"/>
  <c r="P295" i="1"/>
  <c r="P294" i="1"/>
  <c r="P292" i="1"/>
  <c r="L232" i="1"/>
  <c r="L220" i="1"/>
  <c r="M62" i="1"/>
  <c r="M25" i="1"/>
  <c r="R326" i="1"/>
  <c r="U125" i="1"/>
  <c r="U311" i="1"/>
  <c r="U305" i="1" s="1"/>
  <c r="U302" i="1"/>
  <c r="U280" i="1" s="1"/>
  <c r="Q402" i="1" l="1"/>
  <c r="Q8" i="1"/>
  <c r="T335" i="1"/>
  <c r="T395" i="1"/>
  <c r="R401" i="1"/>
  <c r="R366" i="1"/>
  <c r="R392" i="1"/>
  <c r="R314" i="1"/>
  <c r="R320" i="1" s="1"/>
  <c r="R398" i="1"/>
  <c r="U335" i="1"/>
  <c r="U395" i="1"/>
  <c r="U286" i="1"/>
  <c r="U355" i="1"/>
  <c r="L84" i="1"/>
  <c r="L87" i="1"/>
  <c r="S348" i="1"/>
  <c r="S332" i="1"/>
  <c r="S340" i="1"/>
  <c r="P121" i="1"/>
  <c r="O105" i="1"/>
  <c r="O103" i="1" s="1"/>
  <c r="O131" i="1"/>
  <c r="O132" i="1" s="1"/>
  <c r="T336" i="1"/>
  <c r="T396" i="1"/>
  <c r="M82" i="1"/>
  <c r="M59" i="1"/>
  <c r="M60" i="1" s="1"/>
  <c r="M63" i="1"/>
  <c r="P51" i="1"/>
  <c r="S341" i="1"/>
  <c r="U289" i="1"/>
  <c r="O23" i="1"/>
  <c r="O6" i="1"/>
  <c r="O68" i="1"/>
  <c r="O32" i="1"/>
  <c r="O65" i="1"/>
  <c r="O207" i="1"/>
  <c r="O174" i="1" s="1"/>
  <c r="O205" i="1"/>
  <c r="O158" i="1" s="1"/>
  <c r="O208" i="1"/>
  <c r="O175" i="1" s="1"/>
  <c r="O48" i="1"/>
  <c r="O22" i="1"/>
  <c r="O21" i="1"/>
  <c r="O20" i="1"/>
  <c r="O209" i="1"/>
  <c r="O181" i="1" s="1"/>
  <c r="O55" i="1"/>
  <c r="O44" i="1"/>
  <c r="O204" i="1"/>
  <c r="O52" i="1"/>
  <c r="O51" i="1"/>
  <c r="O180" i="1"/>
  <c r="O187" i="1"/>
  <c r="P32" i="1"/>
  <c r="P68" i="1"/>
  <c r="P6" i="1"/>
  <c r="P65" i="1"/>
  <c r="P23" i="1"/>
  <c r="P205" i="1"/>
  <c r="P158" i="1" s="1"/>
  <c r="P207" i="1"/>
  <c r="P174" i="1" s="1"/>
  <c r="P22" i="1"/>
  <c r="P21" i="1"/>
  <c r="P48" i="1"/>
  <c r="P208" i="1"/>
  <c r="P175" i="1" s="1"/>
  <c r="P55" i="1"/>
  <c r="P44" i="1"/>
  <c r="P209" i="1"/>
  <c r="P181" i="1" s="1"/>
  <c r="P20" i="1"/>
  <c r="P204" i="1"/>
  <c r="T354" i="1"/>
  <c r="T327" i="1"/>
  <c r="S339" i="1"/>
  <c r="P147" i="1"/>
  <c r="P231" i="1" s="1"/>
  <c r="P249" i="1" s="1"/>
  <c r="P52" i="1" s="1"/>
  <c r="P19" i="1"/>
  <c r="M220" i="1"/>
  <c r="M232" i="1"/>
  <c r="U358" i="1"/>
  <c r="U330" i="1" s="1"/>
  <c r="P108" i="1"/>
  <c r="Q135" i="1"/>
  <c r="R297" i="1"/>
  <c r="Q279" i="1"/>
  <c r="Q42" i="1"/>
  <c r="Q116" i="1"/>
  <c r="N82" i="1"/>
  <c r="N59" i="1"/>
  <c r="N60" i="1" s="1"/>
  <c r="N63" i="1"/>
  <c r="R332" i="1"/>
  <c r="R348" i="1"/>
  <c r="R340" i="1"/>
  <c r="R339" i="1"/>
  <c r="R342" i="1"/>
  <c r="N232" i="1"/>
  <c r="N220" i="1"/>
  <c r="S391" i="1"/>
  <c r="S342" i="1"/>
  <c r="U288" i="1"/>
  <c r="U336" i="1" l="1"/>
  <c r="U396" i="1"/>
  <c r="P25" i="1"/>
  <c r="O25" i="1"/>
  <c r="N84" i="1"/>
  <c r="N87" i="1" s="1"/>
  <c r="U354" i="1"/>
  <c r="U327" i="1"/>
  <c r="Q206" i="1"/>
  <c r="Q210" i="1"/>
  <c r="P159" i="1"/>
  <c r="P203" i="1"/>
  <c r="O183" i="1"/>
  <c r="P126" i="1"/>
  <c r="P229" i="1" s="1"/>
  <c r="P45" i="1" s="1"/>
  <c r="R402" i="1"/>
  <c r="R8" i="1"/>
  <c r="Q285" i="1"/>
  <c r="Q38" i="1"/>
  <c r="Q37" i="1" s="1"/>
  <c r="Q293" i="1"/>
  <c r="Q295" i="1"/>
  <c r="Q294" i="1"/>
  <c r="Q292" i="1"/>
  <c r="R299" i="1"/>
  <c r="R312" i="1"/>
  <c r="R124" i="1"/>
  <c r="R122" i="1" s="1"/>
  <c r="R240" i="1" s="1"/>
  <c r="M84" i="1"/>
  <c r="M87" i="1" s="1"/>
  <c r="Q137" i="1"/>
  <c r="Q230" i="1" s="1"/>
  <c r="Q139" i="1"/>
  <c r="Q140" i="1" s="1"/>
  <c r="P149" i="1"/>
  <c r="P150" i="1" s="1"/>
  <c r="O159" i="1"/>
  <c r="O203" i="1"/>
  <c r="S392" i="1"/>
  <c r="S366" i="1"/>
  <c r="S314" i="1"/>
  <c r="S320" i="1" s="1"/>
  <c r="S398" i="1"/>
  <c r="S401" i="1" s="1"/>
  <c r="O35" i="1"/>
  <c r="O36" i="1" s="1"/>
  <c r="L228" i="1"/>
  <c r="L227" i="1" s="1"/>
  <c r="L236" i="1" s="1"/>
  <c r="L261" i="1" s="1"/>
  <c r="L262" i="1" s="1"/>
  <c r="L88" i="1"/>
  <c r="Q5" i="1"/>
  <c r="Q19" i="1"/>
  <c r="Q9" i="1"/>
  <c r="T345" i="1"/>
  <c r="T333" i="1"/>
  <c r="T326" i="1"/>
  <c r="T393" i="1"/>
  <c r="T391" i="1" s="1"/>
  <c r="O172" i="1"/>
  <c r="O190" i="1" s="1"/>
  <c r="N228" i="1" l="1"/>
  <c r="N227" i="1" s="1"/>
  <c r="N236" i="1" s="1"/>
  <c r="N261" i="1" s="1"/>
  <c r="N262" i="1" s="1"/>
  <c r="N88" i="1"/>
  <c r="S402" i="1"/>
  <c r="S8" i="1"/>
  <c r="M88" i="1"/>
  <c r="M228" i="1"/>
  <c r="M227" i="1" s="1"/>
  <c r="M236" i="1" s="1"/>
  <c r="M261" i="1" s="1"/>
  <c r="M262" i="1" s="1"/>
  <c r="T348" i="1"/>
  <c r="T332" i="1"/>
  <c r="T340" i="1"/>
  <c r="T342" i="1"/>
  <c r="T341" i="1"/>
  <c r="P232" i="1"/>
  <c r="P220" i="1"/>
  <c r="Q144" i="1"/>
  <c r="P153" i="1"/>
  <c r="P106" i="1"/>
  <c r="P54" i="1"/>
  <c r="P35" i="1"/>
  <c r="O62" i="1"/>
  <c r="T339" i="1"/>
  <c r="Q108" i="1"/>
  <c r="R135" i="1"/>
  <c r="P128" i="1"/>
  <c r="P129" i="1" s="1"/>
  <c r="U333" i="1"/>
  <c r="U345" i="1"/>
  <c r="U326" i="1"/>
  <c r="U393" i="1"/>
  <c r="U391" i="1" s="1"/>
  <c r="Q51" i="1"/>
  <c r="Q6" i="1"/>
  <c r="Q68" i="1"/>
  <c r="Q32" i="1"/>
  <c r="Q65" i="1"/>
  <c r="Q23" i="1"/>
  <c r="Q207" i="1"/>
  <c r="Q174" i="1" s="1"/>
  <c r="Q205" i="1"/>
  <c r="Q158" i="1" s="1"/>
  <c r="Q208" i="1"/>
  <c r="Q175" i="1" s="1"/>
  <c r="Q21" i="1"/>
  <c r="Q48" i="1"/>
  <c r="Q22" i="1"/>
  <c r="Q20" i="1"/>
  <c r="Q209" i="1"/>
  <c r="Q181" i="1" s="1"/>
  <c r="Q55" i="1"/>
  <c r="Q44" i="1"/>
  <c r="Q204" i="1"/>
  <c r="T392" i="1"/>
  <c r="T366" i="1"/>
  <c r="T314" i="1"/>
  <c r="T320" i="1" s="1"/>
  <c r="T398" i="1"/>
  <c r="T401" i="1" s="1"/>
  <c r="O232" i="1"/>
  <c r="O220" i="1"/>
  <c r="S297" i="1"/>
  <c r="R279" i="1"/>
  <c r="R42" i="1"/>
  <c r="R116" i="1"/>
  <c r="R9" i="1"/>
  <c r="R5" i="1"/>
  <c r="T402" i="1" l="1"/>
  <c r="T8" i="1"/>
  <c r="R38" i="1"/>
  <c r="R37" i="1" s="1"/>
  <c r="R285" i="1"/>
  <c r="R293" i="1"/>
  <c r="R292" i="1"/>
  <c r="R294" i="1"/>
  <c r="R295" i="1"/>
  <c r="Q121" i="1"/>
  <c r="P105" i="1"/>
  <c r="P103" i="1" s="1"/>
  <c r="P131" i="1"/>
  <c r="P132" i="1" s="1"/>
  <c r="P187" i="1"/>
  <c r="P180" i="1"/>
  <c r="S299" i="1"/>
  <c r="S312" i="1"/>
  <c r="S124" i="1"/>
  <c r="S122" i="1" s="1"/>
  <c r="S240" i="1" s="1"/>
  <c r="Q203" i="1"/>
  <c r="Q159" i="1"/>
  <c r="R137" i="1"/>
  <c r="R230" i="1" s="1"/>
  <c r="R139" i="1"/>
  <c r="R140" i="1" s="1"/>
  <c r="Q147" i="1"/>
  <c r="Q231" i="1" s="1"/>
  <c r="Q249" i="1" s="1"/>
  <c r="Q52" i="1" s="1"/>
  <c r="Q149" i="1"/>
  <c r="Q150" i="1" s="1"/>
  <c r="R65" i="1"/>
  <c r="R68" i="1"/>
  <c r="R32" i="1"/>
  <c r="R6" i="1"/>
  <c r="R23" i="1"/>
  <c r="R205" i="1"/>
  <c r="R158" i="1" s="1"/>
  <c r="R207" i="1"/>
  <c r="R174" i="1" s="1"/>
  <c r="R48" i="1"/>
  <c r="R21" i="1"/>
  <c r="R22" i="1"/>
  <c r="R208" i="1"/>
  <c r="R175" i="1" s="1"/>
  <c r="R44" i="1"/>
  <c r="R209" i="1"/>
  <c r="R181" i="1" s="1"/>
  <c r="R20" i="1"/>
  <c r="R55" i="1"/>
  <c r="R204" i="1"/>
  <c r="U314" i="1"/>
  <c r="U320" i="1" s="1"/>
  <c r="U366" i="1"/>
  <c r="U392" i="1"/>
  <c r="U398" i="1"/>
  <c r="U401" i="1" s="1"/>
  <c r="S9" i="1"/>
  <c r="S5" i="1"/>
  <c r="U332" i="1"/>
  <c r="U348" i="1"/>
  <c r="U340" i="1"/>
  <c r="U341" i="1"/>
  <c r="U342" i="1"/>
  <c r="O82" i="1"/>
  <c r="O59" i="1"/>
  <c r="O60" i="1" s="1"/>
  <c r="O63" i="1"/>
  <c r="R19" i="1"/>
  <c r="U339" i="1"/>
  <c r="P36" i="1"/>
  <c r="P62" i="1"/>
  <c r="R206" i="1"/>
  <c r="R210" i="1"/>
  <c r="Q25" i="1"/>
  <c r="U402" i="1" l="1"/>
  <c r="U8" i="1"/>
  <c r="S68" i="1"/>
  <c r="S65" i="1"/>
  <c r="S32" i="1"/>
  <c r="S23" i="1"/>
  <c r="S6" i="1"/>
  <c r="S205" i="1"/>
  <c r="S158" i="1" s="1"/>
  <c r="S207" i="1"/>
  <c r="S174" i="1" s="1"/>
  <c r="S21" i="1"/>
  <c r="S48" i="1"/>
  <c r="S22" i="1"/>
  <c r="S208" i="1"/>
  <c r="S175" i="1" s="1"/>
  <c r="S44" i="1"/>
  <c r="S55" i="1"/>
  <c r="S20" i="1"/>
  <c r="S209" i="1"/>
  <c r="S181" i="1" s="1"/>
  <c r="S204" i="1"/>
  <c r="S279" i="1"/>
  <c r="T297" i="1"/>
  <c r="S42" i="1"/>
  <c r="S116" i="1"/>
  <c r="R159" i="1"/>
  <c r="R203" i="1"/>
  <c r="Q106" i="1"/>
  <c r="Q153" i="1"/>
  <c r="Q180" i="1" s="1"/>
  <c r="R144" i="1"/>
  <c r="O84" i="1"/>
  <c r="O87" i="1"/>
  <c r="S19" i="1"/>
  <c r="P172" i="1"/>
  <c r="S135" i="1"/>
  <c r="R108" i="1"/>
  <c r="Q187" i="1"/>
  <c r="P183" i="1"/>
  <c r="P82" i="1"/>
  <c r="P63" i="1"/>
  <c r="P59" i="1"/>
  <c r="P60" i="1" s="1"/>
  <c r="R51" i="1"/>
  <c r="T5" i="1"/>
  <c r="T9" i="1"/>
  <c r="T19" i="1"/>
  <c r="R25" i="1"/>
  <c r="Q220" i="1"/>
  <c r="Q232" i="1"/>
  <c r="Q126" i="1"/>
  <c r="Q229" i="1" s="1"/>
  <c r="Q45" i="1" s="1"/>
  <c r="Q172" i="1" l="1"/>
  <c r="P84" i="1"/>
  <c r="P87" i="1" s="1"/>
  <c r="S206" i="1"/>
  <c r="S210" i="1"/>
  <c r="O228" i="1"/>
  <c r="O227" i="1" s="1"/>
  <c r="O236" i="1" s="1"/>
  <c r="O261" i="1" s="1"/>
  <c r="O262" i="1" s="1"/>
  <c r="O88" i="1"/>
  <c r="S25" i="1"/>
  <c r="Q183" i="1"/>
  <c r="T312" i="1"/>
  <c r="T299" i="1"/>
  <c r="T124" i="1"/>
  <c r="T122" i="1" s="1"/>
  <c r="T240" i="1" s="1"/>
  <c r="Q54" i="1"/>
  <c r="Q35" i="1"/>
  <c r="T65" i="1"/>
  <c r="T68" i="1"/>
  <c r="T32" i="1"/>
  <c r="T6" i="1"/>
  <c r="T23" i="1"/>
  <c r="T205" i="1"/>
  <c r="T158" i="1" s="1"/>
  <c r="T207" i="1"/>
  <c r="T174" i="1" s="1"/>
  <c r="T21" i="1"/>
  <c r="T208" i="1"/>
  <c r="T175" i="1" s="1"/>
  <c r="T48" i="1"/>
  <c r="T22" i="1"/>
  <c r="T44" i="1"/>
  <c r="T209" i="1"/>
  <c r="T181" i="1" s="1"/>
  <c r="T20" i="1"/>
  <c r="T55" i="1"/>
  <c r="T204" i="1"/>
  <c r="R147" i="1"/>
  <c r="R231" i="1" s="1"/>
  <c r="R249" i="1" s="1"/>
  <c r="R52" i="1" s="1"/>
  <c r="R149" i="1"/>
  <c r="R150" i="1" s="1"/>
  <c r="S285" i="1"/>
  <c r="S38" i="1"/>
  <c r="S37" i="1" s="1"/>
  <c r="S293" i="1"/>
  <c r="S294" i="1"/>
  <c r="S295" i="1"/>
  <c r="S292" i="1"/>
  <c r="Q128" i="1"/>
  <c r="Q129" i="1" s="1"/>
  <c r="S137" i="1"/>
  <c r="S230" i="1" s="1"/>
  <c r="S139" i="1"/>
  <c r="S140" i="1" s="1"/>
  <c r="S203" i="1"/>
  <c r="S159" i="1"/>
  <c r="U19" i="1"/>
  <c r="U5" i="1"/>
  <c r="U9" i="1"/>
  <c r="P190" i="1"/>
  <c r="R220" i="1"/>
  <c r="R232" i="1"/>
  <c r="P228" i="1" l="1"/>
  <c r="P227" i="1" s="1"/>
  <c r="P236" i="1" s="1"/>
  <c r="P261" i="1" s="1"/>
  <c r="P262" i="1" s="1"/>
  <c r="P88" i="1"/>
  <c r="S220" i="1"/>
  <c r="S232" i="1"/>
  <c r="T135" i="1"/>
  <c r="S108" i="1"/>
  <c r="T25" i="1"/>
  <c r="R153" i="1"/>
  <c r="S144" i="1"/>
  <c r="R106" i="1"/>
  <c r="Q131" i="1"/>
  <c r="Q132" i="1" s="1"/>
  <c r="R121" i="1"/>
  <c r="Q105" i="1"/>
  <c r="Q103" i="1" s="1"/>
  <c r="T159" i="1"/>
  <c r="Q36" i="1"/>
  <c r="Q62" i="1"/>
  <c r="Q190" i="1"/>
  <c r="S51" i="1"/>
  <c r="U297" i="1"/>
  <c r="T279" i="1"/>
  <c r="T42" i="1"/>
  <c r="T116" i="1"/>
  <c r="U65" i="1"/>
  <c r="U23" i="1"/>
  <c r="U68" i="1"/>
  <c r="U6" i="1"/>
  <c r="U32" i="1"/>
  <c r="U207" i="1"/>
  <c r="U174" i="1" s="1"/>
  <c r="U205" i="1"/>
  <c r="U158" i="1" s="1"/>
  <c r="U22" i="1"/>
  <c r="U208" i="1"/>
  <c r="U175" i="1" s="1"/>
  <c r="U21" i="1"/>
  <c r="U48" i="1"/>
  <c r="U20" i="1"/>
  <c r="U44" i="1"/>
  <c r="U55" i="1"/>
  <c r="U209" i="1"/>
  <c r="U181" i="1" s="1"/>
  <c r="U204" i="1"/>
  <c r="T285" i="1" l="1"/>
  <c r="T38" i="1"/>
  <c r="T37" i="1" s="1"/>
  <c r="T293" i="1"/>
  <c r="T292" i="1"/>
  <c r="T295" i="1"/>
  <c r="T294" i="1"/>
  <c r="U25" i="1"/>
  <c r="U312" i="1"/>
  <c r="U299" i="1"/>
  <c r="U124" i="1"/>
  <c r="U122" i="1" s="1"/>
  <c r="U240" i="1" s="1"/>
  <c r="R126" i="1"/>
  <c r="R229" i="1" s="1"/>
  <c r="R45" i="1" s="1"/>
  <c r="T139" i="1"/>
  <c r="T140" i="1" s="1"/>
  <c r="T137" i="1"/>
  <c r="T230" i="1" s="1"/>
  <c r="Q82" i="1"/>
  <c r="Q59" i="1"/>
  <c r="Q60" i="1" s="1"/>
  <c r="Q63" i="1"/>
  <c r="S147" i="1"/>
  <c r="S231" i="1" s="1"/>
  <c r="S249" i="1" s="1"/>
  <c r="S52" i="1" s="1"/>
  <c r="S149" i="1"/>
  <c r="S150" i="1" s="1"/>
  <c r="U159" i="1"/>
  <c r="T206" i="1"/>
  <c r="T210" i="1"/>
  <c r="R180" i="1"/>
  <c r="R187" i="1"/>
  <c r="U135" i="1" l="1"/>
  <c r="T108" i="1"/>
  <c r="R54" i="1"/>
  <c r="R35" i="1"/>
  <c r="S153" i="1"/>
  <c r="S187" i="1" s="1"/>
  <c r="T144" i="1"/>
  <c r="S106" i="1"/>
  <c r="R128" i="1"/>
  <c r="R129" i="1" s="1"/>
  <c r="R183" i="1"/>
  <c r="T51" i="1"/>
  <c r="R172" i="1"/>
  <c r="R190" i="1" s="1"/>
  <c r="U279" i="1"/>
  <c r="U42" i="1"/>
  <c r="U116" i="1"/>
  <c r="Q84" i="1"/>
  <c r="Q87" i="1"/>
  <c r="T203" i="1"/>
  <c r="S183" i="1" l="1"/>
  <c r="R131" i="1"/>
  <c r="R132" i="1" s="1"/>
  <c r="S121" i="1"/>
  <c r="R105" i="1"/>
  <c r="R103" i="1" s="1"/>
  <c r="U285" i="1"/>
  <c r="U38" i="1"/>
  <c r="U37" i="1" s="1"/>
  <c r="U293" i="1"/>
  <c r="U295" i="1"/>
  <c r="U294" i="1"/>
  <c r="U292" i="1"/>
  <c r="T232" i="1"/>
  <c r="T220" i="1"/>
  <c r="R36" i="1"/>
  <c r="R62" i="1"/>
  <c r="Q228" i="1"/>
  <c r="Q227" i="1" s="1"/>
  <c r="Q236" i="1" s="1"/>
  <c r="Q261" i="1" s="1"/>
  <c r="Q262" i="1" s="1"/>
  <c r="Q88" i="1"/>
  <c r="T147" i="1"/>
  <c r="T231" i="1" s="1"/>
  <c r="T249" i="1" s="1"/>
  <c r="T52" i="1" s="1"/>
  <c r="T149" i="1"/>
  <c r="T150" i="1" s="1"/>
  <c r="S180" i="1"/>
  <c r="U206" i="1"/>
  <c r="U210" i="1"/>
  <c r="U137" i="1"/>
  <c r="U230" i="1" s="1"/>
  <c r="U203" i="1" l="1"/>
  <c r="S172" i="1"/>
  <c r="S190" i="1" s="1"/>
  <c r="S126" i="1"/>
  <c r="S229" i="1" s="1"/>
  <c r="S45" i="1" s="1"/>
  <c r="T153" i="1"/>
  <c r="T187" i="1" s="1"/>
  <c r="T106" i="1"/>
  <c r="U144" i="1"/>
  <c r="U139" i="1"/>
  <c r="U140" i="1" s="1"/>
  <c r="U108" i="1" s="1"/>
  <c r="R63" i="1"/>
  <c r="R59" i="1"/>
  <c r="R60" i="1" s="1"/>
  <c r="R82" i="1"/>
  <c r="U51" i="1"/>
  <c r="T183" i="1" l="1"/>
  <c r="R84" i="1"/>
  <c r="R87" i="1"/>
  <c r="U147" i="1"/>
  <c r="U231" i="1" s="1"/>
  <c r="U249" i="1" s="1"/>
  <c r="U52" i="1" s="1"/>
  <c r="S54" i="1"/>
  <c r="S35" i="1"/>
  <c r="S128" i="1"/>
  <c r="S129" i="1" s="1"/>
  <c r="T180" i="1"/>
  <c r="U232" i="1"/>
  <c r="U220" i="1"/>
  <c r="U149" i="1" l="1"/>
  <c r="U150" i="1" s="1"/>
  <c r="R228" i="1"/>
  <c r="R227" i="1" s="1"/>
  <c r="R236" i="1" s="1"/>
  <c r="R261" i="1" s="1"/>
  <c r="R262" i="1" s="1"/>
  <c r="R88" i="1"/>
  <c r="T172" i="1"/>
  <c r="T190" i="1" s="1"/>
  <c r="S105" i="1"/>
  <c r="S103" i="1" s="1"/>
  <c r="S131" i="1"/>
  <c r="S132" i="1" s="1"/>
  <c r="T121" i="1"/>
  <c r="S36" i="1"/>
  <c r="S62" i="1"/>
  <c r="T126" i="1" l="1"/>
  <c r="T229" i="1" s="1"/>
  <c r="T45" i="1" s="1"/>
  <c r="S63" i="1"/>
  <c r="S59" i="1"/>
  <c r="S60" i="1" s="1"/>
  <c r="S82" i="1"/>
  <c r="U153" i="1"/>
  <c r="U106" i="1"/>
  <c r="U187" i="1" l="1"/>
  <c r="U183" i="1" s="1"/>
  <c r="U180" i="1"/>
  <c r="U172" i="1" s="1"/>
  <c r="U190" i="1" s="1"/>
  <c r="S84" i="1"/>
  <c r="S87" i="1"/>
  <c r="T54" i="1"/>
  <c r="T35" i="1"/>
  <c r="T128" i="1"/>
  <c r="T129" i="1" s="1"/>
  <c r="T131" i="1" l="1"/>
  <c r="T132" i="1" s="1"/>
  <c r="T105" i="1"/>
  <c r="T103" i="1" s="1"/>
  <c r="U121" i="1"/>
  <c r="T36" i="1"/>
  <c r="T62" i="1"/>
  <c r="S228" i="1"/>
  <c r="S227" i="1" s="1"/>
  <c r="S236" i="1" s="1"/>
  <c r="S261" i="1" s="1"/>
  <c r="S262" i="1" s="1"/>
  <c r="S88" i="1"/>
  <c r="T63" i="1" l="1"/>
  <c r="T59" i="1"/>
  <c r="T60" i="1" s="1"/>
  <c r="T82" i="1"/>
  <c r="U126" i="1"/>
  <c r="U229" i="1" s="1"/>
  <c r="U45" i="1" s="1"/>
  <c r="U128" i="1"/>
  <c r="U129" i="1" s="1"/>
  <c r="U131" i="1" l="1"/>
  <c r="U132" i="1" s="1"/>
  <c r="U105" i="1"/>
  <c r="U103" i="1" s="1"/>
  <c r="U54" i="1"/>
  <c r="U35" i="1"/>
  <c r="T84" i="1"/>
  <c r="T87" i="1"/>
  <c r="T228" i="1" l="1"/>
  <c r="T227" i="1" s="1"/>
  <c r="T236" i="1" s="1"/>
  <c r="T261" i="1" s="1"/>
  <c r="T262" i="1" s="1"/>
  <c r="T88" i="1"/>
  <c r="U36" i="1"/>
  <c r="U62" i="1"/>
  <c r="U63" i="1" l="1"/>
  <c r="U59" i="1"/>
  <c r="U60" i="1" s="1"/>
  <c r="U82" i="1"/>
  <c r="U84" i="1" l="1"/>
  <c r="U87" i="1" s="1"/>
  <c r="U88" i="1" l="1"/>
  <c r="U228" i="1"/>
  <c r="U227" i="1" s="1"/>
  <c r="U236" i="1" s="1"/>
  <c r="U261" i="1" s="1"/>
  <c r="U262" i="1" s="1"/>
</calcChain>
</file>

<file path=xl/sharedStrings.xml><?xml version="1.0" encoding="utf-8"?>
<sst xmlns="http://schemas.openxmlformats.org/spreadsheetml/2006/main" count="521" uniqueCount="241">
  <si>
    <t>Days of operation</t>
    <phoneticPr fontId="3" type="noConversion"/>
  </si>
  <si>
    <t>&gt;&gt;2018.09 ipo</t>
    <phoneticPr fontId="3" type="noConversion"/>
  </si>
  <si>
    <t>IS</t>
    <phoneticPr fontId="3" type="noConversion"/>
  </si>
  <si>
    <t>RMB Mn</t>
    <phoneticPr fontId="3" type="noConversion"/>
  </si>
  <si>
    <t>2015</t>
    <phoneticPr fontId="3" type="noConversion"/>
  </si>
  <si>
    <t>2016</t>
  </si>
  <si>
    <t>2017</t>
  </si>
  <si>
    <t>2018</t>
  </si>
  <si>
    <t>2019</t>
  </si>
  <si>
    <t>2020</t>
    <phoneticPr fontId="3" type="noConversion"/>
  </si>
  <si>
    <t>2021e</t>
    <phoneticPr fontId="3" type="noConversion"/>
  </si>
  <si>
    <t>2022e</t>
    <phoneticPr fontId="3" type="noConversion"/>
  </si>
  <si>
    <t>2023e</t>
    <phoneticPr fontId="3" type="noConversion"/>
  </si>
  <si>
    <t>2024e</t>
    <phoneticPr fontId="3" type="noConversion"/>
  </si>
  <si>
    <t>2025e</t>
    <phoneticPr fontId="3" type="noConversion"/>
  </si>
  <si>
    <t>2026e</t>
    <phoneticPr fontId="3" type="noConversion"/>
  </si>
  <si>
    <t>2027e</t>
    <phoneticPr fontId="3" type="noConversion"/>
  </si>
  <si>
    <t>2028e</t>
    <phoneticPr fontId="3" type="noConversion"/>
  </si>
  <si>
    <t>2029e</t>
    <phoneticPr fontId="3" type="noConversion"/>
  </si>
  <si>
    <t>2030e</t>
    <phoneticPr fontId="3" type="noConversion"/>
  </si>
  <si>
    <t>1H17</t>
    <phoneticPr fontId="3" type="noConversion"/>
  </si>
  <si>
    <t>2H17</t>
    <phoneticPr fontId="3" type="noConversion"/>
  </si>
  <si>
    <t>1H18</t>
    <phoneticPr fontId="3" type="noConversion"/>
  </si>
  <si>
    <t>2H18</t>
  </si>
  <si>
    <t>1H19</t>
  </si>
  <si>
    <t>2H19</t>
  </si>
  <si>
    <t>1H20</t>
  </si>
  <si>
    <t>2H20</t>
  </si>
  <si>
    <t>Revenues</t>
    <phoneticPr fontId="3" type="noConversion"/>
  </si>
  <si>
    <t>Consolidated</t>
    <phoneticPr fontId="3" type="noConversion"/>
  </si>
  <si>
    <t>yoy%</t>
    <phoneticPr fontId="3" type="noConversion"/>
  </si>
  <si>
    <t>海底捞餐厅</t>
    <phoneticPr fontId="3" type="noConversion"/>
  </si>
  <si>
    <t>其他餐厅</t>
    <phoneticPr fontId="3" type="noConversion"/>
  </si>
  <si>
    <t>外卖业务</t>
    <phoneticPr fontId="3" type="noConversion"/>
  </si>
  <si>
    <t>调味品及食材销售</t>
    <phoneticPr fontId="3" type="noConversion"/>
  </si>
  <si>
    <t>其他</t>
    <phoneticPr fontId="3" type="noConversion"/>
  </si>
  <si>
    <t>Mix%</t>
    <phoneticPr fontId="3" type="noConversion"/>
  </si>
  <si>
    <t>Raw materials and consumables used</t>
    <phoneticPr fontId="3" type="noConversion"/>
  </si>
  <si>
    <t>食材成本</t>
    <phoneticPr fontId="3" type="noConversion"/>
  </si>
  <si>
    <t>as % of total COGS</t>
    <phoneticPr fontId="3" type="noConversion"/>
  </si>
  <si>
    <t>易耗品</t>
    <phoneticPr fontId="3" type="noConversion"/>
  </si>
  <si>
    <t>餐厅员工制服</t>
    <phoneticPr fontId="3" type="noConversion"/>
  </si>
  <si>
    <t>Gross profit</t>
    <phoneticPr fontId="3" type="noConversion"/>
  </si>
  <si>
    <t>GPM</t>
    <phoneticPr fontId="3" type="noConversion"/>
  </si>
  <si>
    <t>Opex</t>
    <phoneticPr fontId="3" type="noConversion"/>
  </si>
  <si>
    <t>Staff costs</t>
    <phoneticPr fontId="3" type="noConversion"/>
  </si>
  <si>
    <t># of employees ('000)</t>
    <phoneticPr fontId="3" type="noConversion"/>
  </si>
  <si>
    <t>avg. employees per store</t>
    <phoneticPr fontId="3" type="noConversion"/>
  </si>
  <si>
    <t>avg. salary ('000 RMB)</t>
    <phoneticPr fontId="3" type="noConversion"/>
  </si>
  <si>
    <t>Rentals and related expenses</t>
    <phoneticPr fontId="3" type="noConversion"/>
  </si>
  <si>
    <t>Rental related expense per store</t>
    <phoneticPr fontId="3" type="noConversion"/>
  </si>
  <si>
    <t>Utilities expenses</t>
    <phoneticPr fontId="3" type="noConversion"/>
  </si>
  <si>
    <t>D&amp;A</t>
    <phoneticPr fontId="3" type="noConversion"/>
  </si>
  <si>
    <t>Travelling and related expenses</t>
    <phoneticPr fontId="3" type="noConversion"/>
  </si>
  <si>
    <t>Other expenses</t>
    <phoneticPr fontId="3" type="noConversion"/>
  </si>
  <si>
    <t>as % of rev</t>
    <phoneticPr fontId="3" type="noConversion"/>
  </si>
  <si>
    <t>Staff costs</t>
  </si>
  <si>
    <t>Adj. rental expenses</t>
    <phoneticPr fontId="3" type="noConversion"/>
  </si>
  <si>
    <t>Utilities expenses</t>
  </si>
  <si>
    <t>Adj. D&amp;A</t>
    <phoneticPr fontId="3" type="noConversion"/>
  </si>
  <si>
    <t>Travelling and related expenses</t>
  </si>
  <si>
    <t>Other expenses</t>
  </si>
  <si>
    <t>Adj. EBITDA</t>
    <phoneticPr fontId="3" type="noConversion"/>
  </si>
  <si>
    <t>EBITDA margin</t>
    <phoneticPr fontId="3" type="noConversion"/>
  </si>
  <si>
    <t>EBIT</t>
    <phoneticPr fontId="3" type="noConversion"/>
  </si>
  <si>
    <t>OPM</t>
    <phoneticPr fontId="3" type="noConversion"/>
  </si>
  <si>
    <t>Other income</t>
    <phoneticPr fontId="3" type="noConversion"/>
  </si>
  <si>
    <t>Interest income</t>
  </si>
  <si>
    <t>Interest yield</t>
    <phoneticPr fontId="3" type="noConversion"/>
  </si>
  <si>
    <t>Gov't grant</t>
  </si>
  <si>
    <t>Others</t>
  </si>
  <si>
    <t>Profits from JVs and associate</t>
    <phoneticPr fontId="3" type="noConversion"/>
  </si>
  <si>
    <t>Other gains and losses</t>
    <phoneticPr fontId="3" type="noConversion"/>
  </si>
  <si>
    <t>Finance costs</t>
    <phoneticPr fontId="3" type="noConversion"/>
  </si>
  <si>
    <t>Interest on lease liabilities</t>
    <phoneticPr fontId="3" type="noConversion"/>
  </si>
  <si>
    <t>Interest on borrowings</t>
    <phoneticPr fontId="3" type="noConversion"/>
  </si>
  <si>
    <t>Interest rate</t>
    <phoneticPr fontId="3" type="noConversion"/>
  </si>
  <si>
    <t>Other interest expenses</t>
    <phoneticPr fontId="3" type="noConversion"/>
  </si>
  <si>
    <t>EBT</t>
    <phoneticPr fontId="3" type="noConversion"/>
  </si>
  <si>
    <t>Income tax expenses</t>
    <phoneticPr fontId="3" type="noConversion"/>
  </si>
  <si>
    <t>Effective tax rate</t>
    <phoneticPr fontId="3" type="noConversion"/>
  </si>
  <si>
    <t>Net profit</t>
    <phoneticPr fontId="3" type="noConversion"/>
  </si>
  <si>
    <t>NPM</t>
    <phoneticPr fontId="3" type="noConversion"/>
  </si>
  <si>
    <t>Equityholders of the Company</t>
    <phoneticPr fontId="3" type="noConversion"/>
  </si>
  <si>
    <t>NCI</t>
    <phoneticPr fontId="3" type="noConversion"/>
  </si>
  <si>
    <t>NCI%</t>
    <phoneticPr fontId="3" type="noConversion"/>
  </si>
  <si>
    <t># of shares</t>
    <phoneticPr fontId="3" type="noConversion"/>
  </si>
  <si>
    <t>Basic</t>
    <phoneticPr fontId="3" type="noConversion"/>
  </si>
  <si>
    <t>Diluted</t>
    <phoneticPr fontId="3" type="noConversion"/>
  </si>
  <si>
    <t>EPS</t>
    <phoneticPr fontId="3" type="noConversion"/>
  </si>
  <si>
    <t>BS</t>
    <phoneticPr fontId="3" type="noConversion"/>
  </si>
  <si>
    <t>Non-CA</t>
    <phoneticPr fontId="3" type="noConversion"/>
  </si>
  <si>
    <t>PP&amp;E</t>
    <phoneticPr fontId="3" type="noConversion"/>
  </si>
  <si>
    <t>ROU assets</t>
    <phoneticPr fontId="3" type="noConversion"/>
  </si>
  <si>
    <t>Goodwill</t>
    <phoneticPr fontId="3" type="noConversion"/>
  </si>
  <si>
    <t>Intangibles</t>
    <phoneticPr fontId="3" type="noConversion"/>
  </si>
  <si>
    <t>Equity-method investment</t>
    <phoneticPr fontId="3" type="noConversion"/>
  </si>
  <si>
    <t>Amount due from related parties</t>
    <phoneticPr fontId="3" type="noConversion"/>
  </si>
  <si>
    <t>FA at FVTPL</t>
    <phoneticPr fontId="3" type="noConversion"/>
  </si>
  <si>
    <t>FA at FVTOCI</t>
    <phoneticPr fontId="3" type="noConversion"/>
  </si>
  <si>
    <t>Other financial assets</t>
    <phoneticPr fontId="3" type="noConversion"/>
  </si>
  <si>
    <t>Deferred tax assets</t>
    <phoneticPr fontId="3" type="noConversion"/>
  </si>
  <si>
    <t>Deposits in a financial institution</t>
    <phoneticPr fontId="3" type="noConversion"/>
  </si>
  <si>
    <t>Rental deposits</t>
    <phoneticPr fontId="3" type="noConversion"/>
  </si>
  <si>
    <t>deposits per store</t>
    <phoneticPr fontId="3" type="noConversion"/>
  </si>
  <si>
    <t>Other non-CA</t>
    <phoneticPr fontId="3" type="noConversion"/>
  </si>
  <si>
    <t>PP&amp;E schedule</t>
    <phoneticPr fontId="3" type="noConversion"/>
  </si>
  <si>
    <t>BGN</t>
    <phoneticPr fontId="3" type="noConversion"/>
  </si>
  <si>
    <t>Capex</t>
    <phoneticPr fontId="3" type="noConversion"/>
  </si>
  <si>
    <t>On newly opened store</t>
    <phoneticPr fontId="3" type="noConversion"/>
  </si>
  <si>
    <t>On existing stores</t>
    <phoneticPr fontId="3" type="noConversion"/>
  </si>
  <si>
    <t>Capex per existing store</t>
    <phoneticPr fontId="3" type="noConversion"/>
  </si>
  <si>
    <t>Dep yrs</t>
    <phoneticPr fontId="3" type="noConversion"/>
  </si>
  <si>
    <t>END(cal.)</t>
    <phoneticPr fontId="3" type="noConversion"/>
  </si>
  <si>
    <t>END(reported)</t>
    <phoneticPr fontId="3" type="noConversion"/>
  </si>
  <si>
    <t>Diff</t>
    <phoneticPr fontId="3" type="noConversion"/>
  </si>
  <si>
    <t>PP&amp;E per Haidilao store</t>
    <phoneticPr fontId="3" type="noConversion"/>
  </si>
  <si>
    <t>Intangibles schedule</t>
    <phoneticPr fontId="3" type="noConversion"/>
  </si>
  <si>
    <t>Amort yrs</t>
    <phoneticPr fontId="3" type="noConversion"/>
  </si>
  <si>
    <t>ROU assets schedule</t>
    <phoneticPr fontId="3" type="noConversion"/>
  </si>
  <si>
    <t>Additions</t>
    <phoneticPr fontId="3" type="noConversion"/>
  </si>
  <si>
    <t>per net added store</t>
    <phoneticPr fontId="3" type="noConversion"/>
  </si>
  <si>
    <t>Lease liabilities total</t>
    <phoneticPr fontId="3" type="noConversion"/>
  </si>
  <si>
    <t>as % of ROU assets balance</t>
    <phoneticPr fontId="3" type="noConversion"/>
  </si>
  <si>
    <t>CA</t>
    <phoneticPr fontId="3" type="noConversion"/>
  </si>
  <si>
    <t>Inventories</t>
    <phoneticPr fontId="3" type="noConversion"/>
  </si>
  <si>
    <t>Trade and other receivables and prepayments</t>
    <phoneticPr fontId="3" type="noConversion"/>
  </si>
  <si>
    <t>Trade receivables</t>
    <phoneticPr fontId="3" type="noConversion"/>
  </si>
  <si>
    <t>Prepayment to suppliers</t>
    <phoneticPr fontId="3" type="noConversion"/>
  </si>
  <si>
    <t>Other receivables/prepayments</t>
    <phoneticPr fontId="3" type="noConversion"/>
  </si>
  <si>
    <t>Amounts due from related parties</t>
    <phoneticPr fontId="3" type="noConversion"/>
  </si>
  <si>
    <t>Pledged bank deposits</t>
    <phoneticPr fontId="3" type="noConversion"/>
  </si>
  <si>
    <t>Bank balances and cash</t>
    <phoneticPr fontId="3" type="noConversion"/>
  </si>
  <si>
    <t>Total assets</t>
    <phoneticPr fontId="3" type="noConversion"/>
  </si>
  <si>
    <t>CL</t>
    <phoneticPr fontId="3" type="noConversion"/>
  </si>
  <si>
    <t>Trade payables</t>
    <phoneticPr fontId="3" type="noConversion"/>
  </si>
  <si>
    <t>Other payables</t>
    <phoneticPr fontId="3" type="noConversion"/>
  </si>
  <si>
    <t>Amounts due to related parties</t>
    <phoneticPr fontId="3" type="noConversion"/>
  </si>
  <si>
    <t>Dividend payable</t>
    <phoneticPr fontId="3" type="noConversion"/>
  </si>
  <si>
    <t>Tax payable</t>
    <phoneticPr fontId="3" type="noConversion"/>
  </si>
  <si>
    <t>Borrowings</t>
    <phoneticPr fontId="3" type="noConversion"/>
  </si>
  <si>
    <t>Lease liabilities</t>
    <phoneticPr fontId="3" type="noConversion"/>
  </si>
  <si>
    <t>Contract liabilities</t>
    <phoneticPr fontId="3" type="noConversion"/>
  </si>
  <si>
    <t>Non-CL</t>
    <phoneticPr fontId="3" type="noConversion"/>
  </si>
  <si>
    <t>Deferred tax liabilities</t>
    <phoneticPr fontId="3" type="noConversion"/>
  </si>
  <si>
    <t>Provisions</t>
    <phoneticPr fontId="3" type="noConversion"/>
  </si>
  <si>
    <t>Total liabilities</t>
    <phoneticPr fontId="3" type="noConversion"/>
  </si>
  <si>
    <t>Equity attributable to owners of the Company</t>
    <phoneticPr fontId="3" type="noConversion"/>
  </si>
  <si>
    <t>Share capital</t>
    <phoneticPr fontId="3" type="noConversion"/>
  </si>
  <si>
    <t>Reserves</t>
    <phoneticPr fontId="3" type="noConversion"/>
  </si>
  <si>
    <t>Non-controlling interests</t>
    <phoneticPr fontId="3" type="noConversion"/>
  </si>
  <si>
    <t>Total equity</t>
    <phoneticPr fontId="3" type="noConversion"/>
  </si>
  <si>
    <t>check</t>
    <phoneticPr fontId="3" type="noConversion"/>
  </si>
  <si>
    <t>BVPS</t>
    <phoneticPr fontId="3" type="noConversion"/>
  </si>
  <si>
    <t>NWC</t>
    <phoneticPr fontId="3" type="noConversion"/>
  </si>
  <si>
    <t>Receivables and prepaids</t>
    <phoneticPr fontId="3" type="noConversion"/>
  </si>
  <si>
    <t>Trade payable</t>
    <phoneticPr fontId="3" type="noConversion"/>
  </si>
  <si>
    <t>Other NWC</t>
    <phoneticPr fontId="3" type="noConversion"/>
  </si>
  <si>
    <t>Receivables and prepaids Days</t>
    <phoneticPr fontId="3" type="noConversion"/>
  </si>
  <si>
    <t>TR Days</t>
    <phoneticPr fontId="3" type="noConversion"/>
  </si>
  <si>
    <t>Prepayment to suppliers Days</t>
    <phoneticPr fontId="3" type="noConversion"/>
  </si>
  <si>
    <t>Other receivables and prepaids Days</t>
    <phoneticPr fontId="3" type="noConversion"/>
  </si>
  <si>
    <t>Inventory Days</t>
    <phoneticPr fontId="3" type="noConversion"/>
  </si>
  <si>
    <t>Trade payable Days</t>
    <phoneticPr fontId="3" type="noConversion"/>
  </si>
  <si>
    <t>Other payables Days</t>
    <phoneticPr fontId="3" type="noConversion"/>
  </si>
  <si>
    <t>Contract liabilities Days</t>
    <phoneticPr fontId="3" type="noConversion"/>
  </si>
  <si>
    <t>NWC Days</t>
    <phoneticPr fontId="3" type="noConversion"/>
  </si>
  <si>
    <t>CFS</t>
    <phoneticPr fontId="3" type="noConversion"/>
  </si>
  <si>
    <t>2020e</t>
    <phoneticPr fontId="3" type="noConversion"/>
  </si>
  <si>
    <t>Net cash from/(used in) operating activities</t>
    <phoneticPr fontId="3" type="noConversion"/>
  </si>
  <si>
    <t>+Dep of PP&amp;E</t>
    <phoneticPr fontId="3" type="noConversion"/>
  </si>
  <si>
    <t>+Amort of intangibles</t>
    <phoneticPr fontId="3" type="noConversion"/>
  </si>
  <si>
    <t>+Dep of ROU assets</t>
    <phoneticPr fontId="3" type="noConversion"/>
  </si>
  <si>
    <t>-Chg in NWC</t>
    <phoneticPr fontId="3" type="noConversion"/>
  </si>
  <si>
    <t>-Non-op gains/+losses</t>
    <phoneticPr fontId="3" type="noConversion"/>
  </si>
  <si>
    <t>Others</t>
    <phoneticPr fontId="3" type="noConversion"/>
  </si>
  <si>
    <t>Adj. OCF</t>
    <phoneticPr fontId="3" type="noConversion"/>
  </si>
  <si>
    <t>Net cash from/(used in) investing activities</t>
    <phoneticPr fontId="3" type="noConversion"/>
  </si>
  <si>
    <t>Capex on PP&amp;E</t>
    <phoneticPr fontId="3" type="noConversion"/>
  </si>
  <si>
    <t>Capex on intangibles</t>
    <phoneticPr fontId="3" type="noConversion"/>
  </si>
  <si>
    <t>Business acquisition, net of cash</t>
    <phoneticPr fontId="3" type="noConversion"/>
  </si>
  <si>
    <t>Chg in pledged bank deposits/Fis deposits</t>
    <phoneticPr fontId="3" type="noConversion"/>
  </si>
  <si>
    <t>Net cash from/(used in) financing activities</t>
    <phoneticPr fontId="3" type="noConversion"/>
  </si>
  <si>
    <t>New debt</t>
    <phoneticPr fontId="3" type="noConversion"/>
  </si>
  <si>
    <t>Loans from related parties</t>
    <phoneticPr fontId="3" type="noConversion"/>
  </si>
  <si>
    <t>Repayments of lease liabilities</t>
    <phoneticPr fontId="3" type="noConversion"/>
  </si>
  <si>
    <t>Dividends paid</t>
    <phoneticPr fontId="3" type="noConversion"/>
  </si>
  <si>
    <t>Equity contribution by shareholders</t>
    <phoneticPr fontId="3" type="noConversion"/>
  </si>
  <si>
    <t>Net chg in cash</t>
    <phoneticPr fontId="3" type="noConversion"/>
  </si>
  <si>
    <t>FX impact</t>
    <phoneticPr fontId="3" type="noConversion"/>
  </si>
  <si>
    <t>Net cash used in Sichuan Haidilao Branches</t>
    <phoneticPr fontId="3" type="noConversion"/>
  </si>
  <si>
    <t>END</t>
    <phoneticPr fontId="3" type="noConversion"/>
  </si>
  <si>
    <t>Adj. FCFF</t>
    <phoneticPr fontId="3" type="noConversion"/>
  </si>
  <si>
    <t>FCFF margin</t>
    <phoneticPr fontId="3" type="noConversion"/>
  </si>
  <si>
    <t>FCFF yield</t>
    <phoneticPr fontId="3" type="noConversion"/>
  </si>
  <si>
    <t>DCF</t>
    <phoneticPr fontId="3" type="noConversion"/>
  </si>
  <si>
    <t>Haidilao op metrics</t>
    <phoneticPr fontId="3" type="noConversion"/>
  </si>
  <si>
    <r>
      <rPr>
        <sz val="12"/>
        <color theme="1"/>
        <rFont val="Arial"/>
        <family val="3"/>
      </rPr>
      <t>常住人口</t>
    </r>
    <r>
      <rPr>
        <sz val="12"/>
        <color theme="1"/>
        <rFont val="Arial"/>
        <family val="2"/>
      </rPr>
      <t>(Mn)</t>
    </r>
    <phoneticPr fontId="3" type="noConversion"/>
  </si>
  <si>
    <t>**海底捞口径</t>
    <phoneticPr fontId="3" type="noConversion"/>
  </si>
  <si>
    <t>Tier 1</t>
    <phoneticPr fontId="3" type="noConversion"/>
  </si>
  <si>
    <t>Tier 2</t>
    <phoneticPr fontId="3" type="noConversion"/>
  </si>
  <si>
    <t>Blended metrics</t>
    <phoneticPr fontId="3" type="noConversion"/>
  </si>
  <si>
    <t># of restaurants</t>
    <phoneticPr fontId="3" type="noConversion"/>
  </si>
  <si>
    <t>Tier 3 and below</t>
    <phoneticPr fontId="3" type="noConversion"/>
  </si>
  <si>
    <t>Overseas</t>
    <phoneticPr fontId="3" type="noConversion"/>
  </si>
  <si>
    <t>Opened</t>
    <phoneticPr fontId="3" type="noConversion"/>
  </si>
  <si>
    <t>growth rate</t>
    <phoneticPr fontId="3" type="noConversion"/>
  </si>
  <si>
    <t>Closed</t>
    <phoneticPr fontId="3" type="noConversion"/>
  </si>
  <si>
    <t>Net adds</t>
    <phoneticPr fontId="3" type="noConversion"/>
  </si>
  <si>
    <t>Avg. rev per guest (RMB)</t>
    <phoneticPr fontId="3" type="noConversion"/>
  </si>
  <si>
    <t>Total # of guests served (Mn)</t>
    <phoneticPr fontId="3" type="noConversion"/>
  </si>
  <si>
    <t>penetration rate</t>
    <phoneticPr fontId="3" type="noConversion"/>
  </si>
  <si>
    <t>Avg. guests per day per restaurant</t>
    <phoneticPr fontId="3" type="noConversion"/>
  </si>
  <si>
    <t>Total restaurant days</t>
    <phoneticPr fontId="3" type="noConversion"/>
  </si>
  <si>
    <t xml:space="preserve">avg. days of operation (Instrumental) </t>
    <phoneticPr fontId="3" type="noConversion"/>
  </si>
  <si>
    <t>Avg. daily restaurant sales ('000 RMB)</t>
    <phoneticPr fontId="3" type="noConversion"/>
  </si>
  <si>
    <t>Table turnover rate (times/day)</t>
    <phoneticPr fontId="3" type="noConversion"/>
  </si>
  <si>
    <t>Avg. guests per time per day per restaurant</t>
    <phoneticPr fontId="3" type="noConversion"/>
  </si>
  <si>
    <t>Gross restaurant rev</t>
    <phoneticPr fontId="3" type="noConversion"/>
  </si>
  <si>
    <t>Less: Customer loyalty program</t>
    <phoneticPr fontId="3" type="noConversion"/>
  </si>
  <si>
    <t>as % of gross rev</t>
    <phoneticPr fontId="3" type="noConversion"/>
  </si>
  <si>
    <t>Net restaurant rev</t>
    <phoneticPr fontId="3" type="noConversion"/>
  </si>
  <si>
    <t>Restaurant level operating profit</t>
    <phoneticPr fontId="3" type="noConversion"/>
  </si>
  <si>
    <t>Restaurant level OPM</t>
    <phoneticPr fontId="3" type="noConversion"/>
  </si>
  <si>
    <t>Same store metrics</t>
    <phoneticPr fontId="3" type="noConversion"/>
  </si>
  <si>
    <r>
      <t>**年内</t>
    </r>
    <r>
      <rPr>
        <i/>
        <sz val="8"/>
        <color theme="1"/>
        <rFont val="SimSun"/>
        <family val="3"/>
        <charset val="134"/>
      </rPr>
      <t>运营超过</t>
    </r>
    <r>
      <rPr>
        <i/>
        <sz val="8"/>
        <color theme="1"/>
        <rFont val="Arial"/>
        <family val="2"/>
      </rPr>
      <t>300</t>
    </r>
    <r>
      <rPr>
        <i/>
        <sz val="8"/>
        <color theme="1"/>
        <rFont val="SimSun"/>
        <family val="3"/>
        <charset val="134"/>
      </rPr>
      <t>天的餐厅/半年内运营超过120天的餐厅</t>
    </r>
    <phoneticPr fontId="3" type="noConversion"/>
  </si>
  <si>
    <t># of same stores under comparison</t>
    <phoneticPr fontId="3" type="noConversion"/>
  </si>
  <si>
    <t>as % of period end stores</t>
    <phoneticPr fontId="3" type="noConversion"/>
  </si>
  <si>
    <t>Current period</t>
    <phoneticPr fontId="3" type="noConversion"/>
  </si>
  <si>
    <t>Same store total sales</t>
    <phoneticPr fontId="3" type="noConversion"/>
  </si>
  <si>
    <t>SSS per day per restaurant('000 RMB)</t>
    <phoneticPr fontId="3" type="noConversion"/>
  </si>
  <si>
    <t>SS restaurant days</t>
    <phoneticPr fontId="3" type="noConversion"/>
  </si>
  <si>
    <t>SS table turnover rate (times/day)</t>
    <phoneticPr fontId="3" type="noConversion"/>
  </si>
  <si>
    <t>Last period</t>
    <phoneticPr fontId="3" type="noConversion"/>
  </si>
  <si>
    <t>SSS per day per restaurant ('000 RMB)</t>
    <phoneticPr fontId="3" type="noConversion"/>
  </si>
  <si>
    <t>YoY growth</t>
    <phoneticPr fontId="3" type="noConversion"/>
  </si>
  <si>
    <t>SSSG</t>
    <phoneticPr fontId="3" type="noConversion"/>
  </si>
  <si>
    <t>SS table turnover growth</t>
    <phoneticPr fontId="3" type="noConversion"/>
  </si>
  <si>
    <t>本文件仅用于案例示范，不构成投资建议，所有参数假设不必当真。</t>
    <phoneticPr fontId="3" type="noConversion"/>
  </si>
  <si>
    <t>如有言中，纯属侥幸。</t>
    <phoneticPr fontId="3" type="noConversion"/>
  </si>
  <si>
    <t>本期话题：除现金外的流动资产（current assets）和流动负债（current liabilities）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</si>
</sst>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(* #,##0_);_(* \(#,##0\);_(* &quot;-&quot;??_);_(@_)"/>
    <numFmt numFmtId="177" formatCode="0.0%"/>
    <numFmt numFmtId="178" formatCode="_(* #,##0.0_);_(* \(#,##0.0\);_(* &quot;-&quot;??_);_(@_)"/>
  </numFmts>
  <fonts count="37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Arial"/>
      <family val="2"/>
    </font>
    <font>
      <sz val="9"/>
      <name val="等线"/>
      <family val="2"/>
      <charset val="134"/>
      <scheme val="minor"/>
    </font>
    <font>
      <sz val="12"/>
      <color rgb="FF0432FF"/>
      <name val="Arial"/>
      <family val="2"/>
    </font>
    <font>
      <sz val="12"/>
      <color rgb="FFC0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432FF"/>
      <name val="Arial"/>
      <family val="2"/>
    </font>
    <font>
      <i/>
      <sz val="12"/>
      <color theme="8"/>
      <name val="Arial"/>
      <family val="2"/>
    </font>
    <font>
      <i/>
      <sz val="12"/>
      <color rgb="FFC00000"/>
      <name val="Arial"/>
      <family val="2"/>
    </font>
    <font>
      <sz val="12"/>
      <color theme="8"/>
      <name val="Arial"/>
      <family val="2"/>
    </font>
    <font>
      <u val="singleAccounting"/>
      <sz val="12"/>
      <color theme="8"/>
      <name val="Arial"/>
      <family val="2"/>
    </font>
    <font>
      <sz val="12"/>
      <color theme="1" tint="0.499984740745262"/>
      <name val="Arial"/>
      <family val="2"/>
    </font>
    <font>
      <sz val="12"/>
      <color theme="5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b/>
      <i/>
      <sz val="12"/>
      <color theme="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3"/>
    </font>
    <font>
      <i/>
      <u val="singleAccounting"/>
      <sz val="12"/>
      <color theme="8"/>
      <name val="Arial"/>
      <family val="2"/>
    </font>
    <font>
      <i/>
      <sz val="12"/>
      <color theme="1"/>
      <name val="Arial"/>
      <family val="2"/>
    </font>
    <font>
      <i/>
      <sz val="12"/>
      <color theme="1" tint="0.499984740745262"/>
      <name val="Arial"/>
      <family val="2"/>
    </font>
    <font>
      <i/>
      <u val="singleAccounting"/>
      <sz val="12"/>
      <color theme="1" tint="0.499984740745262"/>
      <name val="Arial"/>
      <family val="2"/>
    </font>
    <font>
      <u val="singleAccounting"/>
      <sz val="12"/>
      <color theme="1"/>
      <name val="Arial"/>
      <family val="2"/>
    </font>
    <font>
      <b/>
      <sz val="12"/>
      <color rgb="FFC00000"/>
      <name val="Arial"/>
      <family val="2"/>
    </font>
    <font>
      <i/>
      <u/>
      <sz val="12"/>
      <color theme="8"/>
      <name val="Arial"/>
      <family val="2"/>
    </font>
    <font>
      <b/>
      <sz val="12"/>
      <color theme="8"/>
      <name val="Arial"/>
      <family val="2"/>
    </font>
    <font>
      <b/>
      <u val="singleAccounting"/>
      <sz val="12"/>
      <color theme="8"/>
      <name val="Arial"/>
      <family val="2"/>
    </font>
    <font>
      <i/>
      <sz val="8"/>
      <color theme="1"/>
      <name val="Arial"/>
      <family val="2"/>
    </font>
    <font>
      <i/>
      <sz val="8"/>
      <color theme="1"/>
      <name val="SimSun"/>
      <family val="3"/>
      <charset val="134"/>
    </font>
    <font>
      <b/>
      <u val="singleAccounting"/>
      <sz val="12"/>
      <color theme="1"/>
      <name val="Arial"/>
      <family val="2"/>
    </font>
    <font>
      <i/>
      <sz val="8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6"/>
      <color rgb="FFC00000"/>
      <name val="SimSun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6" fontId="2" fillId="2" borderId="0" xfId="1" applyNumberFormat="1" applyFont="1" applyFill="1">
      <alignment vertical="center"/>
    </xf>
    <xf numFmtId="176" fontId="4" fillId="2" borderId="0" xfId="1" applyNumberFormat="1" applyFont="1" applyFill="1">
      <alignment vertical="center"/>
    </xf>
    <xf numFmtId="176" fontId="5" fillId="2" borderId="0" xfId="1" applyNumberFormat="1" applyFont="1" applyFill="1">
      <alignment vertical="center"/>
    </xf>
    <xf numFmtId="49" fontId="6" fillId="3" borderId="0" xfId="1" applyNumberFormat="1" applyFont="1" applyFill="1">
      <alignment vertical="center"/>
    </xf>
    <xf numFmtId="49" fontId="6" fillId="3" borderId="0" xfId="1" applyNumberFormat="1" applyFont="1" applyFill="1" applyAlignment="1">
      <alignment horizontal="center" vertical="center"/>
    </xf>
    <xf numFmtId="176" fontId="7" fillId="2" borderId="0" xfId="1" applyNumberFormat="1" applyFont="1" applyFill="1">
      <alignment vertical="center"/>
    </xf>
    <xf numFmtId="176" fontId="8" fillId="2" borderId="0" xfId="1" applyNumberFormat="1" applyFont="1" applyFill="1">
      <alignment vertical="center"/>
    </xf>
    <xf numFmtId="177" fontId="9" fillId="2" borderId="0" xfId="2" applyNumberFormat="1" applyFont="1" applyFill="1">
      <alignment vertical="center"/>
    </xf>
    <xf numFmtId="177" fontId="10" fillId="2" borderId="0" xfId="2" applyNumberFormat="1" applyFont="1" applyFill="1">
      <alignment vertical="center"/>
    </xf>
    <xf numFmtId="176" fontId="11" fillId="2" borderId="0" xfId="1" applyNumberFormat="1" applyFont="1" applyFill="1">
      <alignment vertical="center"/>
    </xf>
    <xf numFmtId="176" fontId="12" fillId="2" borderId="0" xfId="1" applyNumberFormat="1" applyFont="1" applyFill="1">
      <alignment vertical="center"/>
    </xf>
    <xf numFmtId="177" fontId="11" fillId="2" borderId="0" xfId="2" applyNumberFormat="1" applyFont="1" applyFill="1">
      <alignment vertical="center"/>
    </xf>
    <xf numFmtId="9" fontId="9" fillId="2" borderId="0" xfId="2" applyFont="1" applyFill="1">
      <alignment vertical="center"/>
    </xf>
    <xf numFmtId="176" fontId="13" fillId="2" borderId="0" xfId="1" applyNumberFormat="1" applyFont="1" applyFill="1">
      <alignment vertical="center"/>
    </xf>
    <xf numFmtId="43" fontId="11" fillId="2" borderId="0" xfId="1" applyFont="1" applyFill="1">
      <alignment vertical="center"/>
    </xf>
    <xf numFmtId="43" fontId="5" fillId="2" borderId="0" xfId="1" applyFont="1" applyFill="1">
      <alignment vertical="center"/>
    </xf>
    <xf numFmtId="177" fontId="5" fillId="2" borderId="0" xfId="2" applyNumberFormat="1" applyFont="1" applyFill="1">
      <alignment vertical="center"/>
    </xf>
    <xf numFmtId="176" fontId="14" fillId="2" borderId="0" xfId="1" quotePrefix="1" applyNumberFormat="1" applyFont="1" applyFill="1">
      <alignment vertical="center"/>
    </xf>
    <xf numFmtId="176" fontId="14" fillId="2" borderId="0" xfId="1" applyNumberFormat="1" applyFont="1" applyFill="1">
      <alignment vertical="center"/>
    </xf>
    <xf numFmtId="176" fontId="2" fillId="4" borderId="0" xfId="1" applyNumberFormat="1" applyFont="1" applyFill="1">
      <alignment vertical="center"/>
    </xf>
    <xf numFmtId="176" fontId="15" fillId="2" borderId="0" xfId="1" applyNumberFormat="1" applyFont="1" applyFill="1">
      <alignment vertical="center"/>
    </xf>
    <xf numFmtId="176" fontId="16" fillId="2" borderId="0" xfId="1" applyNumberFormat="1" applyFont="1" applyFill="1">
      <alignment vertical="center"/>
    </xf>
    <xf numFmtId="176" fontId="9" fillId="2" borderId="0" xfId="1" applyNumberFormat="1" applyFont="1" applyFill="1">
      <alignment vertical="center"/>
    </xf>
    <xf numFmtId="178" fontId="9" fillId="2" borderId="0" xfId="1" applyNumberFormat="1" applyFont="1" applyFill="1">
      <alignment vertical="center"/>
    </xf>
    <xf numFmtId="178" fontId="10" fillId="2" borderId="0" xfId="1" applyNumberFormat="1" applyFont="1" applyFill="1">
      <alignment vertical="center"/>
    </xf>
    <xf numFmtId="176" fontId="17" fillId="2" borderId="0" xfId="1" applyNumberFormat="1" applyFont="1" applyFill="1">
      <alignment vertical="center"/>
    </xf>
    <xf numFmtId="43" fontId="2" fillId="2" borderId="0" xfId="1" applyFont="1" applyFill="1">
      <alignment vertical="center"/>
    </xf>
    <xf numFmtId="176" fontId="10" fillId="2" borderId="0" xfId="1" applyNumberFormat="1" applyFont="1" applyFill="1">
      <alignment vertical="center"/>
    </xf>
    <xf numFmtId="176" fontId="18" fillId="2" borderId="0" xfId="1" applyNumberFormat="1" applyFont="1" applyFill="1">
      <alignment vertical="center"/>
    </xf>
    <xf numFmtId="176" fontId="2" fillId="2" borderId="0" xfId="1" quotePrefix="1" applyNumberFormat="1" applyFont="1" applyFill="1">
      <alignment vertical="center"/>
    </xf>
    <xf numFmtId="176" fontId="19" fillId="2" borderId="0" xfId="1" applyNumberFormat="1" applyFont="1" applyFill="1">
      <alignment vertical="center"/>
    </xf>
    <xf numFmtId="176" fontId="20" fillId="2" borderId="0" xfId="1" applyNumberFormat="1" applyFont="1" applyFill="1">
      <alignment vertical="center"/>
    </xf>
    <xf numFmtId="176" fontId="15" fillId="5" borderId="0" xfId="1" applyNumberFormat="1" applyFont="1" applyFill="1">
      <alignment vertical="center"/>
    </xf>
    <xf numFmtId="176" fontId="21" fillId="2" borderId="0" xfId="1" applyNumberFormat="1" applyFont="1" applyFill="1">
      <alignment vertical="center"/>
    </xf>
    <xf numFmtId="176" fontId="22" fillId="2" borderId="0" xfId="1" applyNumberFormat="1" applyFont="1" applyFill="1">
      <alignment vertical="center"/>
    </xf>
    <xf numFmtId="176" fontId="23" fillId="2" borderId="0" xfId="1" applyNumberFormat="1" applyFont="1" applyFill="1">
      <alignment vertical="center"/>
    </xf>
    <xf numFmtId="176" fontId="24" fillId="2" borderId="0" xfId="1" applyNumberFormat="1" applyFont="1" applyFill="1">
      <alignment vertical="center"/>
    </xf>
    <xf numFmtId="9" fontId="23" fillId="2" borderId="0" xfId="2" applyFont="1" applyFill="1">
      <alignment vertical="center"/>
    </xf>
    <xf numFmtId="9" fontId="10" fillId="2" borderId="0" xfId="2" applyFont="1" applyFill="1">
      <alignment vertical="center"/>
    </xf>
    <xf numFmtId="176" fontId="25" fillId="2" borderId="0" xfId="1" applyNumberFormat="1" applyFont="1" applyFill="1">
      <alignment vertical="center"/>
    </xf>
    <xf numFmtId="9" fontId="2" fillId="2" borderId="0" xfId="2" applyFont="1" applyFill="1">
      <alignment vertical="center"/>
    </xf>
    <xf numFmtId="178" fontId="8" fillId="2" borderId="0" xfId="1" applyNumberFormat="1" applyFont="1" applyFill="1">
      <alignment vertical="center"/>
    </xf>
    <xf numFmtId="178" fontId="26" fillId="2" borderId="0" xfId="1" applyNumberFormat="1" applyFont="1" applyFill="1">
      <alignment vertical="center"/>
    </xf>
    <xf numFmtId="178" fontId="2" fillId="2" borderId="0" xfId="1" applyNumberFormat="1" applyFont="1" applyFill="1">
      <alignment vertical="center"/>
    </xf>
    <xf numFmtId="178" fontId="4" fillId="2" borderId="0" xfId="1" applyNumberFormat="1" applyFont="1" applyFill="1">
      <alignment vertical="center"/>
    </xf>
    <xf numFmtId="178" fontId="5" fillId="2" borderId="0" xfId="1" applyNumberFormat="1" applyFont="1" applyFill="1">
      <alignment vertical="center"/>
    </xf>
    <xf numFmtId="177" fontId="27" fillId="2" borderId="0" xfId="2" applyNumberFormat="1" applyFont="1" applyFill="1">
      <alignment vertical="center"/>
    </xf>
    <xf numFmtId="176" fontId="17" fillId="6" borderId="0" xfId="1" applyNumberFormat="1" applyFont="1" applyFill="1">
      <alignment vertical="center"/>
    </xf>
    <xf numFmtId="176" fontId="28" fillId="2" borderId="0" xfId="1" applyNumberFormat="1" applyFont="1" applyFill="1">
      <alignment vertical="center"/>
    </xf>
    <xf numFmtId="176" fontId="29" fillId="2" borderId="0" xfId="1" applyNumberFormat="1" applyFont="1" applyFill="1">
      <alignment vertical="center"/>
    </xf>
    <xf numFmtId="177" fontId="28" fillId="2" borderId="0" xfId="2" applyNumberFormat="1" applyFont="1" applyFill="1">
      <alignment vertical="center"/>
    </xf>
    <xf numFmtId="177" fontId="8" fillId="2" borderId="0" xfId="2" applyNumberFormat="1" applyFont="1" applyFill="1">
      <alignment vertical="center"/>
    </xf>
    <xf numFmtId="176" fontId="30" fillId="5" borderId="0" xfId="1" applyNumberFormat="1" applyFont="1" applyFill="1">
      <alignment vertical="center"/>
    </xf>
    <xf numFmtId="176" fontId="32" fillId="2" borderId="0" xfId="1" applyNumberFormat="1" applyFont="1" applyFill="1">
      <alignment vertical="center"/>
    </xf>
    <xf numFmtId="176" fontId="33" fillId="2" borderId="0" xfId="1" applyNumberFormat="1" applyFont="1" applyFill="1">
      <alignment vertical="center"/>
    </xf>
    <xf numFmtId="177" fontId="16" fillId="2" borderId="0" xfId="2" applyNumberFormat="1" applyFont="1" applyFill="1">
      <alignment vertical="center"/>
    </xf>
    <xf numFmtId="177" fontId="16" fillId="7" borderId="0" xfId="2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4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35" fillId="2" borderId="0" xfId="0" applyFont="1" applyFill="1">
      <alignment vertical="center"/>
    </xf>
    <xf numFmtId="0" fontId="36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qiuyufei/Dropbox/&#22823;&#28040;&#36153;/2.%20&#32593;&#32418;&#39184;&#39278;/202102%20&#32593;&#32418;&#39184;&#39278;&#27169;&#22411;&#24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国城市人口GDP"/>
      <sheetName val="奈雪model"/>
      <sheetName val="海底捞model"/>
      <sheetName val="颐海model"/>
      <sheetName val="九毛九model"/>
      <sheetName val="呷哺呷哺model"/>
    </sheetNames>
    <sheetDataSet>
      <sheetData sheetId="0">
        <row r="3">
          <cell r="P3">
            <v>7073.75</v>
          </cell>
          <cell r="Q3">
            <v>7187.7900000000009</v>
          </cell>
          <cell r="R3">
            <v>7291.7</v>
          </cell>
          <cell r="S3">
            <v>7371.08</v>
          </cell>
          <cell r="T3">
            <v>7456.47</v>
          </cell>
        </row>
        <row r="10">
          <cell r="P10">
            <v>1465.75</v>
          </cell>
          <cell r="Q10">
            <v>1591.76</v>
          </cell>
          <cell r="R10">
            <v>1604.47</v>
          </cell>
          <cell r="S10">
            <v>1633</v>
          </cell>
          <cell r="T10">
            <v>1658.1</v>
          </cell>
        </row>
        <row r="11">
          <cell r="P11">
            <v>3016.55</v>
          </cell>
          <cell r="Q11">
            <v>3048</v>
          </cell>
          <cell r="R11">
            <v>3075.16</v>
          </cell>
          <cell r="S11">
            <v>3101.79</v>
          </cell>
          <cell r="T11">
            <v>3124</v>
          </cell>
        </row>
        <row r="12">
          <cell r="P12">
            <v>901.8</v>
          </cell>
          <cell r="Q12">
            <v>918.8</v>
          </cell>
          <cell r="R12">
            <v>946.8</v>
          </cell>
          <cell r="S12">
            <v>980.6</v>
          </cell>
          <cell r="T12">
            <v>1036</v>
          </cell>
        </row>
        <row r="13">
          <cell r="P13">
            <v>1060.77</v>
          </cell>
          <cell r="Q13">
            <v>1076.6199999999999</v>
          </cell>
          <cell r="R13">
            <v>1089.29</v>
          </cell>
          <cell r="S13">
            <v>1108.0999999999999</v>
          </cell>
          <cell r="T13">
            <v>1121.2</v>
          </cell>
        </row>
        <row r="14">
          <cell r="P14">
            <v>870.56</v>
          </cell>
          <cell r="Q14">
            <v>883.21</v>
          </cell>
          <cell r="R14">
            <v>961.67</v>
          </cell>
          <cell r="S14">
            <v>1000.37</v>
          </cell>
          <cell r="T14">
            <v>1020.35</v>
          </cell>
        </row>
        <row r="15">
          <cell r="P15">
            <v>1546.95</v>
          </cell>
          <cell r="Q15">
            <v>1562</v>
          </cell>
          <cell r="R15">
            <v>1556.87</v>
          </cell>
          <cell r="S15">
            <v>1559.6</v>
          </cell>
          <cell r="T15">
            <v>1562</v>
          </cell>
        </row>
        <row r="16">
          <cell r="P16">
            <v>1061.5999999999999</v>
          </cell>
          <cell r="Q16">
            <v>1064.74</v>
          </cell>
          <cell r="R16">
            <v>1068.4000000000001</v>
          </cell>
          <cell r="S16">
            <v>1072.17</v>
          </cell>
          <cell r="T16">
            <v>1074.99</v>
          </cell>
        </row>
        <row r="17">
          <cell r="P17">
            <v>823.59</v>
          </cell>
          <cell r="Q17">
            <v>827</v>
          </cell>
          <cell r="R17">
            <v>833.5</v>
          </cell>
          <cell r="S17">
            <v>843.62</v>
          </cell>
          <cell r="T17">
            <v>850</v>
          </cell>
        </row>
        <row r="18">
          <cell r="P18">
            <v>956.9</v>
          </cell>
          <cell r="Q18">
            <v>972.4</v>
          </cell>
          <cell r="R18">
            <v>988.1</v>
          </cell>
          <cell r="S18">
            <v>1013.6</v>
          </cell>
          <cell r="T18">
            <v>1035.2</v>
          </cell>
        </row>
        <row r="19">
          <cell r="P19">
            <v>743.18</v>
          </cell>
          <cell r="Q19">
            <v>764.52</v>
          </cell>
          <cell r="R19">
            <v>791.81</v>
          </cell>
          <cell r="S19">
            <v>815.47</v>
          </cell>
          <cell r="T19">
            <v>839.45</v>
          </cell>
        </row>
        <row r="21">
          <cell r="P21">
            <v>829.1</v>
          </cell>
          <cell r="Q21">
            <v>829.2</v>
          </cell>
          <cell r="R21">
            <v>829.4</v>
          </cell>
          <cell r="S21">
            <v>831.6</v>
          </cell>
          <cell r="T21">
            <v>832.2</v>
          </cell>
        </row>
        <row r="22">
          <cell r="P22">
            <v>909.7</v>
          </cell>
          <cell r="Q22">
            <v>920.4</v>
          </cell>
          <cell r="R22">
            <v>929.05</v>
          </cell>
          <cell r="S22">
            <v>939.48</v>
          </cell>
          <cell r="T22">
            <v>949.98</v>
          </cell>
        </row>
        <row r="25">
          <cell r="P25">
            <v>651.1</v>
          </cell>
          <cell r="Q25">
            <v>652.9</v>
          </cell>
          <cell r="R25">
            <v>655.29999999999995</v>
          </cell>
          <cell r="S25">
            <v>657.45</v>
          </cell>
          <cell r="T25">
            <v>659.15</v>
          </cell>
        </row>
        <row r="30">
          <cell r="P30">
            <v>778.95</v>
          </cell>
          <cell r="Q30">
            <v>786.9</v>
          </cell>
          <cell r="R30">
            <v>796.5</v>
          </cell>
          <cell r="S30">
            <v>808.7</v>
          </cell>
          <cell r="T30">
            <v>818.9</v>
          </cell>
        </row>
        <row r="31">
          <cell r="P31">
            <v>530.29</v>
          </cell>
          <cell r="Q31">
            <v>537.14</v>
          </cell>
          <cell r="R31">
            <v>546.35</v>
          </cell>
          <cell r="S31">
            <v>554.54999999999995</v>
          </cell>
          <cell r="T31">
            <v>560.05999999999995</v>
          </cell>
        </row>
        <row r="32">
          <cell r="P32">
            <v>782.5</v>
          </cell>
          <cell r="Q32">
            <v>787.5</v>
          </cell>
          <cell r="R32">
            <v>800.5</v>
          </cell>
          <cell r="S32">
            <v>820.2</v>
          </cell>
          <cell r="T32">
            <v>854.2</v>
          </cell>
        </row>
        <row r="38">
          <cell r="P38">
            <v>750</v>
          </cell>
          <cell r="Q38">
            <v>757</v>
          </cell>
          <cell r="R38">
            <v>766</v>
          </cell>
          <cell r="S38">
            <v>774</v>
          </cell>
          <cell r="T38">
            <v>780</v>
          </cell>
        </row>
        <row r="39">
          <cell r="P39">
            <v>386</v>
          </cell>
          <cell r="Q39">
            <v>392</v>
          </cell>
          <cell r="R39">
            <v>401</v>
          </cell>
          <cell r="S39">
            <v>411</v>
          </cell>
          <cell r="T39">
            <v>429</v>
          </cell>
        </row>
        <row r="43">
          <cell r="P43">
            <v>163.41</v>
          </cell>
          <cell r="Q43">
            <v>167.53</v>
          </cell>
          <cell r="R43">
            <v>176.54</v>
          </cell>
          <cell r="S43">
            <v>189.11</v>
          </cell>
          <cell r="T43">
            <v>202.37</v>
          </cell>
        </row>
        <row r="45">
          <cell r="P45">
            <v>222.3</v>
          </cell>
          <cell r="Q45">
            <v>224.6</v>
          </cell>
          <cell r="R45">
            <v>227.21</v>
          </cell>
          <cell r="S45">
            <v>230.23</v>
          </cell>
          <cell r="T45">
            <v>232.79</v>
          </cell>
        </row>
        <row r="46">
          <cell r="P46">
            <v>698.61</v>
          </cell>
          <cell r="Q46">
            <v>706.22</v>
          </cell>
          <cell r="R46">
            <v>715.33</v>
          </cell>
          <cell r="S46">
            <v>725.41</v>
          </cell>
          <cell r="T46">
            <v>734.48</v>
          </cell>
        </row>
        <row r="47">
          <cell r="P47">
            <v>462.18</v>
          </cell>
          <cell r="Q47">
            <v>469.68</v>
          </cell>
          <cell r="R47">
            <v>480.2</v>
          </cell>
          <cell r="S47">
            <v>488.19</v>
          </cell>
          <cell r="T47">
            <v>497.14</v>
          </cell>
        </row>
        <row r="48">
          <cell r="P48">
            <v>667.7</v>
          </cell>
          <cell r="Q48">
            <v>672.8</v>
          </cell>
          <cell r="R48">
            <v>678.3</v>
          </cell>
          <cell r="S48">
            <v>685</v>
          </cell>
          <cell r="T48">
            <v>695</v>
          </cell>
        </row>
        <row r="49">
          <cell r="P49">
            <v>1064.2</v>
          </cell>
          <cell r="Q49">
            <v>1064.2</v>
          </cell>
          <cell r="R49">
            <v>1092.9000000000001</v>
          </cell>
          <cell r="S49">
            <v>1085.8</v>
          </cell>
          <cell r="T49">
            <v>1076.3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698.7</v>
          </cell>
          <cell r="Q51">
            <v>678.7</v>
          </cell>
          <cell r="R51">
            <v>698.8</v>
          </cell>
          <cell r="S51">
            <v>700</v>
          </cell>
          <cell r="T51">
            <v>700</v>
          </cell>
        </row>
        <row r="52">
          <cell r="P52">
            <v>1070.1600000000001</v>
          </cell>
          <cell r="Q52">
            <v>1078.46</v>
          </cell>
          <cell r="R52">
            <v>1087.99</v>
          </cell>
          <cell r="S52">
            <v>1095.1600000000001</v>
          </cell>
          <cell r="T52">
            <v>1103.1199999999999</v>
          </cell>
        </row>
        <row r="53">
          <cell r="P53">
            <v>431.87</v>
          </cell>
          <cell r="Q53">
            <v>434.44</v>
          </cell>
          <cell r="R53">
            <v>437.97</v>
          </cell>
          <cell r="S53">
            <v>442.15</v>
          </cell>
          <cell r="T53">
            <v>446.19</v>
          </cell>
        </row>
        <row r="54">
          <cell r="P54">
            <v>713.2</v>
          </cell>
          <cell r="Q54">
            <v>723.31</v>
          </cell>
          <cell r="R54">
            <v>732.12</v>
          </cell>
          <cell r="S54">
            <v>746.04</v>
          </cell>
          <cell r="T54">
            <v>890.87</v>
          </cell>
        </row>
        <row r="56">
          <cell r="P56">
            <v>369.31</v>
          </cell>
          <cell r="Q56">
            <v>370.55</v>
          </cell>
          <cell r="R56">
            <v>372.96</v>
          </cell>
          <cell r="S56">
            <v>375.36</v>
          </cell>
          <cell r="T56">
            <v>379.09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679C-B722-A645-9A8A-F3492C9722D3}">
  <sheetPr>
    <tabColor rgb="FFFF0000"/>
  </sheetPr>
  <dimension ref="C10:N18"/>
  <sheetViews>
    <sheetView tabSelected="1" workbookViewId="0">
      <selection activeCell="C5" sqref="C5"/>
    </sheetView>
  </sheetViews>
  <sheetFormatPr baseColWidth="10" defaultRowHeight="16"/>
  <cols>
    <col min="1" max="16384" width="10.83203125" style="58"/>
  </cols>
  <sheetData>
    <row r="10" spans="3:14" ht="17" thickBot="1"/>
    <row r="11" spans="3:14"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3:14" ht="28">
      <c r="C12" s="62"/>
      <c r="D12" s="63" t="s">
        <v>238</v>
      </c>
      <c r="N12" s="64"/>
    </row>
    <row r="13" spans="3:14">
      <c r="C13" s="62"/>
      <c r="N13" s="64"/>
    </row>
    <row r="14" spans="3:14" ht="20">
      <c r="C14" s="62"/>
      <c r="D14" s="65" t="s">
        <v>239</v>
      </c>
      <c r="N14" s="64"/>
    </row>
    <row r="15" spans="3:14" ht="20">
      <c r="C15" s="62"/>
      <c r="D15" s="65"/>
      <c r="N15" s="64"/>
    </row>
    <row r="16" spans="3:14" ht="19">
      <c r="C16" s="62"/>
      <c r="D16" s="66" t="s">
        <v>240</v>
      </c>
      <c r="N16" s="64"/>
    </row>
    <row r="17" spans="3:14">
      <c r="C17" s="62"/>
      <c r="N17" s="64"/>
    </row>
    <row r="18" spans="3:14" ht="17" thickBot="1"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BCEC-FA3B-0A4A-BF43-33F6D85A8795}">
  <dimension ref="B2:AE494"/>
  <sheetViews>
    <sheetView zoomScale="125" workbookViewId="0">
      <pane xSplit="5" ySplit="4" topLeftCell="G200" activePane="bottomRight" state="frozen"/>
      <selection pane="topRight" activeCell="F1" sqref="F1"/>
      <selection pane="bottomLeft" activeCell="A5" sqref="A5"/>
      <selection pane="bottomRight" activeCell="A203" sqref="A203:XFD220"/>
    </sheetView>
  </sheetViews>
  <sheetFormatPr baseColWidth="10" defaultRowHeight="16" outlineLevelRow="1"/>
  <cols>
    <col min="1" max="1" width="5.83203125" style="1" customWidth="1"/>
    <col min="2" max="2" width="19.1640625" style="1" customWidth="1"/>
    <col min="3" max="10" width="10.83203125" style="1"/>
    <col min="11" max="15" width="11" style="1" bestFit="1" customWidth="1"/>
    <col min="16" max="21" width="12.5" style="1" bestFit="1" customWidth="1"/>
    <col min="22" max="16384" width="10.83203125" style="1"/>
  </cols>
  <sheetData>
    <row r="2" spans="2:31">
      <c r="B2" s="1" t="s">
        <v>0</v>
      </c>
      <c r="F2" s="2">
        <v>365</v>
      </c>
      <c r="G2" s="2">
        <v>366</v>
      </c>
      <c r="H2" s="2">
        <v>365</v>
      </c>
      <c r="I2" s="2">
        <v>365</v>
      </c>
      <c r="J2" s="2">
        <v>365</v>
      </c>
      <c r="K2" s="2">
        <v>366</v>
      </c>
      <c r="L2" s="2">
        <v>365</v>
      </c>
      <c r="M2" s="2">
        <v>365</v>
      </c>
      <c r="N2" s="2">
        <v>365</v>
      </c>
      <c r="O2" s="2">
        <v>366</v>
      </c>
      <c r="P2" s="2">
        <v>365</v>
      </c>
      <c r="Q2" s="2">
        <v>365</v>
      </c>
      <c r="R2" s="2">
        <v>365</v>
      </c>
      <c r="S2" s="2">
        <v>366</v>
      </c>
      <c r="T2" s="2">
        <v>365</v>
      </c>
      <c r="U2" s="2">
        <v>365</v>
      </c>
      <c r="X2" s="2">
        <v>181</v>
      </c>
      <c r="Y2" s="2">
        <v>184</v>
      </c>
      <c r="Z2" s="2">
        <v>181</v>
      </c>
      <c r="AA2" s="2">
        <v>184</v>
      </c>
      <c r="AB2" s="2">
        <v>181</v>
      </c>
      <c r="AC2" s="2">
        <v>184</v>
      </c>
      <c r="AD2" s="2">
        <v>182</v>
      </c>
      <c r="AE2" s="2">
        <v>184</v>
      </c>
    </row>
    <row r="3" spans="2:31" s="3" customFormat="1">
      <c r="I3" s="3" t="s">
        <v>1</v>
      </c>
    </row>
    <row r="4" spans="2:31" s="4" customFormat="1">
      <c r="B4" s="4" t="s">
        <v>2</v>
      </c>
      <c r="C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X4" s="5" t="s">
        <v>20</v>
      </c>
      <c r="Y4" s="5" t="s">
        <v>21</v>
      </c>
      <c r="Z4" s="5" t="s">
        <v>22</v>
      </c>
      <c r="AA4" s="5" t="s">
        <v>23</v>
      </c>
      <c r="AB4" s="5" t="s">
        <v>24</v>
      </c>
      <c r="AC4" s="5" t="s">
        <v>25</v>
      </c>
      <c r="AD4" s="5" t="s">
        <v>26</v>
      </c>
      <c r="AE4" s="5" t="s">
        <v>27</v>
      </c>
    </row>
    <row r="5" spans="2:31" s="6" customFormat="1">
      <c r="B5" s="6" t="s">
        <v>28</v>
      </c>
      <c r="C5" s="6" t="s">
        <v>29</v>
      </c>
      <c r="F5" s="7">
        <v>5756.6819999999998</v>
      </c>
      <c r="G5" s="7">
        <v>7807.6859999999997</v>
      </c>
      <c r="H5" s="7">
        <v>10637.17</v>
      </c>
      <c r="I5" s="7">
        <v>16969.099999999999</v>
      </c>
      <c r="J5" s="7">
        <v>26555.792000000001</v>
      </c>
      <c r="K5" s="7">
        <v>28614.255000000001</v>
      </c>
      <c r="L5" s="6">
        <f t="shared" ref="L5:U5" si="0">L8+L10+L12+L14</f>
        <v>63807.944423224464</v>
      </c>
      <c r="M5" s="6">
        <f t="shared" si="0"/>
        <v>84354.4400938701</v>
      </c>
      <c r="N5" s="6">
        <f t="shared" si="0"/>
        <v>99248.335830915283</v>
      </c>
      <c r="O5" s="6">
        <f t="shared" si="0"/>
        <v>112513.34843383076</v>
      </c>
      <c r="P5" s="6">
        <f t="shared" si="0"/>
        <v>126049.427969854</v>
      </c>
      <c r="Q5" s="6">
        <f t="shared" si="0"/>
        <v>141114.37520572712</v>
      </c>
      <c r="R5" s="6">
        <f t="shared" si="0"/>
        <v>155052.37073766516</v>
      </c>
      <c r="S5" s="6">
        <f t="shared" si="0"/>
        <v>167861.95736463982</v>
      </c>
      <c r="T5" s="6">
        <f t="shared" si="0"/>
        <v>180943.64004334336</v>
      </c>
      <c r="U5" s="6">
        <f t="shared" si="0"/>
        <v>195253.8627114665</v>
      </c>
      <c r="X5" s="7">
        <v>4756.0649999999996</v>
      </c>
      <c r="Y5" s="6">
        <f>H5-X5</f>
        <v>5881.1050000000005</v>
      </c>
      <c r="Z5" s="7">
        <v>7342.6440000000002</v>
      </c>
      <c r="AA5" s="6">
        <f>I5-Z5</f>
        <v>9626.4559999999983</v>
      </c>
      <c r="AB5" s="7">
        <v>11694.626</v>
      </c>
      <c r="AC5" s="6">
        <f>J5-AB5</f>
        <v>14861.166000000001</v>
      </c>
      <c r="AD5" s="7">
        <v>9760.6049999999996</v>
      </c>
      <c r="AE5" s="6">
        <f>K5-AD5</f>
        <v>18853.650000000001</v>
      </c>
    </row>
    <row r="6" spans="2:31" s="8" customFormat="1">
      <c r="C6" s="8" t="s">
        <v>30</v>
      </c>
      <c r="G6" s="8">
        <f t="shared" ref="G6:I6" si="1">G5/F5-1</f>
        <v>0.35628231679290256</v>
      </c>
      <c r="H6" s="8">
        <f t="shared" si="1"/>
        <v>0.36239725829138125</v>
      </c>
      <c r="I6" s="8">
        <f t="shared" si="1"/>
        <v>0.59526452994546464</v>
      </c>
      <c r="J6" s="8">
        <f>J5/I5-1</f>
        <v>0.56494993841747676</v>
      </c>
      <c r="K6" s="8">
        <f>K5/J5-1</f>
        <v>7.7514652923927008E-2</v>
      </c>
      <c r="L6" s="8">
        <f t="shared" ref="L6:U6" si="2">L5/K5-1</f>
        <v>1.2299355486705652</v>
      </c>
      <c r="M6" s="8">
        <f t="shared" si="2"/>
        <v>0.32200529035013448</v>
      </c>
      <c r="N6" s="8">
        <f t="shared" si="2"/>
        <v>0.1765632694671575</v>
      </c>
      <c r="O6" s="8">
        <f t="shared" si="2"/>
        <v>0.1336547609776999</v>
      </c>
      <c r="P6" s="8">
        <f t="shared" si="2"/>
        <v>0.12030643229842042</v>
      </c>
      <c r="Q6" s="8">
        <f t="shared" si="2"/>
        <v>0.11951618883566884</v>
      </c>
      <c r="R6" s="8">
        <f t="shared" si="2"/>
        <v>9.8770911975609721E-2</v>
      </c>
      <c r="S6" s="8">
        <f t="shared" si="2"/>
        <v>8.2614580906004598E-2</v>
      </c>
      <c r="T6" s="8">
        <f t="shared" si="2"/>
        <v>7.7931193488270489E-2</v>
      </c>
      <c r="U6" s="8">
        <f t="shared" si="2"/>
        <v>7.9086629763252647E-2</v>
      </c>
      <c r="Z6" s="8">
        <f>Z5/X5-1</f>
        <v>0.54384853865538019</v>
      </c>
      <c r="AA6" s="8">
        <f t="shared" ref="AA6:AE6" si="3">AA5/Y5-1</f>
        <v>0.63684477661935945</v>
      </c>
      <c r="AB6" s="8">
        <f t="shared" si="3"/>
        <v>0.59269957797218553</v>
      </c>
      <c r="AC6" s="8">
        <f t="shared" si="3"/>
        <v>0.54378371438045359</v>
      </c>
      <c r="AD6" s="8">
        <f t="shared" si="3"/>
        <v>-0.16537690046693243</v>
      </c>
      <c r="AE6" s="8">
        <f t="shared" si="3"/>
        <v>0.26865213671659416</v>
      </c>
    </row>
    <row r="8" spans="2:31">
      <c r="C8" s="1" t="s">
        <v>31</v>
      </c>
      <c r="F8" s="2">
        <v>5653.0889999999999</v>
      </c>
      <c r="G8" s="2">
        <v>7635.5959999999995</v>
      </c>
      <c r="H8" s="2">
        <v>10388.097</v>
      </c>
      <c r="I8" s="2">
        <v>16491.223000000002</v>
      </c>
      <c r="J8" s="2">
        <v>25588.523000000001</v>
      </c>
      <c r="K8" s="2">
        <v>27433.691999999999</v>
      </c>
      <c r="L8" s="1">
        <f t="shared" ref="L8:U8" si="4">L401</f>
        <v>62008.870523224461</v>
      </c>
      <c r="M8" s="1">
        <f t="shared" si="4"/>
        <v>81802.143321370095</v>
      </c>
      <c r="N8" s="1">
        <f t="shared" si="4"/>
        <v>96021.118263040276</v>
      </c>
      <c r="O8" s="1">
        <f t="shared" si="4"/>
        <v>108687.4434909745</v>
      </c>
      <c r="P8" s="1">
        <f t="shared" si="4"/>
        <v>121538.42536880932</v>
      </c>
      <c r="Q8" s="1">
        <f t="shared" si="4"/>
        <v>135842.46227798983</v>
      </c>
      <c r="R8" s="1">
        <f t="shared" si="4"/>
        <v>148941.81701515886</v>
      </c>
      <c r="S8" s="1">
        <f t="shared" si="4"/>
        <v>160791.58525656833</v>
      </c>
      <c r="T8" s="1">
        <f t="shared" si="4"/>
        <v>172773.12858437593</v>
      </c>
      <c r="U8" s="1">
        <f t="shared" si="4"/>
        <v>185791.78205614802</v>
      </c>
      <c r="X8" s="2">
        <v>4646.6840000000002</v>
      </c>
      <c r="Y8" s="1">
        <f>H8-X8</f>
        <v>5741.4129999999996</v>
      </c>
      <c r="Z8" s="2">
        <v>7152.0370000000003</v>
      </c>
      <c r="AA8" s="1">
        <f>I8-Z8</f>
        <v>9339.1860000000015</v>
      </c>
      <c r="AB8" s="2">
        <v>11331.412</v>
      </c>
      <c r="AC8" s="1">
        <f>J8-AB8</f>
        <v>14257.111000000001</v>
      </c>
      <c r="AD8" s="2">
        <v>9150.6530000000002</v>
      </c>
      <c r="AE8" s="1">
        <f>K8-AD8</f>
        <v>18283.038999999997</v>
      </c>
    </row>
    <row r="9" spans="2:31" s="8" customFormat="1">
      <c r="D9" s="8" t="s">
        <v>30</v>
      </c>
      <c r="G9" s="8">
        <f t="shared" ref="G9:I9" si="5">G8/F8-1</f>
        <v>0.35069446102829782</v>
      </c>
      <c r="H9" s="8">
        <f t="shared" si="5"/>
        <v>0.36048279662779437</v>
      </c>
      <c r="I9" s="8">
        <f t="shared" si="5"/>
        <v>0.58751145662193971</v>
      </c>
      <c r="J9" s="8">
        <f>J8/I8-1</f>
        <v>0.55164495683552395</v>
      </c>
      <c r="K9" s="8">
        <f t="shared" ref="K9:U11" si="6">K8/J8-1</f>
        <v>7.2109242100452553E-2</v>
      </c>
      <c r="L9" s="8">
        <f t="shared" si="6"/>
        <v>1.2603180980243005</v>
      </c>
      <c r="M9" s="8">
        <f t="shared" si="6"/>
        <v>0.31920066647129741</v>
      </c>
      <c r="N9" s="8">
        <f t="shared" si="6"/>
        <v>0.17382154506403502</v>
      </c>
      <c r="O9" s="8">
        <f t="shared" si="6"/>
        <v>0.13191186956640188</v>
      </c>
      <c r="P9" s="8">
        <f t="shared" si="6"/>
        <v>0.11823796259318553</v>
      </c>
      <c r="Q9" s="8">
        <f t="shared" si="6"/>
        <v>0.11769147794843327</v>
      </c>
      <c r="R9" s="8">
        <f t="shared" si="6"/>
        <v>9.6430486590874054E-2</v>
      </c>
      <c r="S9" s="8">
        <f t="shared" si="6"/>
        <v>7.9559713174463642E-2</v>
      </c>
      <c r="T9" s="8">
        <f t="shared" si="6"/>
        <v>7.4515984830233251E-2</v>
      </c>
      <c r="U9" s="8">
        <f t="shared" si="6"/>
        <v>7.535114735978321E-2</v>
      </c>
      <c r="Z9" s="8">
        <f>Z8/X8-1</f>
        <v>0.53917008344014783</v>
      </c>
      <c r="AA9" s="8">
        <f t="shared" ref="AA9:AE9" si="7">AA8/Y8-1</f>
        <v>0.62663546412703663</v>
      </c>
      <c r="AB9" s="8">
        <f t="shared" si="7"/>
        <v>0.58436149029989637</v>
      </c>
      <c r="AC9" s="8">
        <f t="shared" si="7"/>
        <v>0.52659032596631006</v>
      </c>
      <c r="AD9" s="8">
        <f t="shared" si="7"/>
        <v>-0.19245253813028773</v>
      </c>
      <c r="AE9" s="8">
        <f t="shared" si="7"/>
        <v>0.28238035040899923</v>
      </c>
    </row>
    <row r="10" spans="2:31">
      <c r="C10" s="1" t="s">
        <v>32</v>
      </c>
      <c r="F10" s="2">
        <v>0</v>
      </c>
      <c r="G10" s="2">
        <v>0</v>
      </c>
      <c r="H10" s="2">
        <v>0</v>
      </c>
      <c r="I10" s="2">
        <v>0</v>
      </c>
      <c r="J10" s="2">
        <v>21.154</v>
      </c>
      <c r="K10" s="2">
        <v>20.614000000000001</v>
      </c>
      <c r="L10" s="1">
        <f t="shared" ref="L10:U10" si="8">K10*(1+L11)</f>
        <v>51.535000000000004</v>
      </c>
      <c r="M10" s="1">
        <f t="shared" si="8"/>
        <v>95.339750000000009</v>
      </c>
      <c r="N10" s="1">
        <f t="shared" si="8"/>
        <v>152.54360000000003</v>
      </c>
      <c r="O10" s="1">
        <f t="shared" si="8"/>
        <v>205.93386000000004</v>
      </c>
      <c r="P10" s="1">
        <f t="shared" si="8"/>
        <v>247.12063200000003</v>
      </c>
      <c r="Q10" s="1">
        <f t="shared" si="8"/>
        <v>284.18872679999998</v>
      </c>
      <c r="R10" s="1">
        <f t="shared" si="8"/>
        <v>312.60759948000003</v>
      </c>
      <c r="S10" s="1">
        <f t="shared" si="8"/>
        <v>343.86835942800008</v>
      </c>
      <c r="T10" s="1">
        <f t="shared" si="8"/>
        <v>378.2551953708001</v>
      </c>
      <c r="U10" s="1">
        <f t="shared" si="8"/>
        <v>416.08071490788012</v>
      </c>
      <c r="X10" s="2">
        <v>0</v>
      </c>
      <c r="Y10" s="1">
        <f t="shared" ref="Y10:Y16" si="9">H10-X10</f>
        <v>0</v>
      </c>
      <c r="Z10" s="2">
        <v>0</v>
      </c>
      <c r="AA10" s="1">
        <f t="shared" ref="AA10:AA16" si="10">I10-Z10</f>
        <v>0</v>
      </c>
      <c r="AB10" s="2">
        <v>4.7610000000000001</v>
      </c>
      <c r="AC10" s="1">
        <f t="shared" ref="AC10:AC16" si="11">J10-AB10</f>
        <v>16.393000000000001</v>
      </c>
      <c r="AD10" s="2">
        <v>11.999000000000001</v>
      </c>
      <c r="AE10" s="1">
        <f>K10-AD10</f>
        <v>8.6150000000000002</v>
      </c>
    </row>
    <row r="11" spans="2:31" s="8" customFormat="1">
      <c r="D11" s="8" t="s">
        <v>30</v>
      </c>
      <c r="K11" s="8">
        <f t="shared" si="6"/>
        <v>-2.552708707573037E-2</v>
      </c>
      <c r="L11" s="9">
        <v>1.5</v>
      </c>
      <c r="M11" s="9">
        <v>0.85</v>
      </c>
      <c r="N11" s="9">
        <v>0.6</v>
      </c>
      <c r="O11" s="9">
        <v>0.35</v>
      </c>
      <c r="P11" s="9">
        <v>0.2</v>
      </c>
      <c r="Q11" s="9">
        <v>0.15</v>
      </c>
      <c r="R11" s="9">
        <v>0.1</v>
      </c>
      <c r="S11" s="9">
        <v>0.1</v>
      </c>
      <c r="T11" s="9">
        <v>0.1</v>
      </c>
      <c r="U11" s="9">
        <v>0.1</v>
      </c>
      <c r="Z11" s="8" t="e">
        <f>Z10/X10-1</f>
        <v>#DIV/0!</v>
      </c>
      <c r="AA11" s="8" t="e">
        <f t="shared" ref="AA11:AE11" si="12">AA10/Y10-1</f>
        <v>#DIV/0!</v>
      </c>
      <c r="AB11" s="8" t="e">
        <f t="shared" si="12"/>
        <v>#DIV/0!</v>
      </c>
      <c r="AC11" s="8" t="e">
        <f t="shared" si="12"/>
        <v>#DIV/0!</v>
      </c>
      <c r="AD11" s="8">
        <f t="shared" si="12"/>
        <v>1.5202688510817057</v>
      </c>
      <c r="AE11" s="8">
        <f t="shared" si="12"/>
        <v>-0.47447081071188923</v>
      </c>
    </row>
    <row r="12" spans="2:31">
      <c r="C12" s="1" t="s">
        <v>33</v>
      </c>
      <c r="F12" s="2">
        <v>74.072999999999993</v>
      </c>
      <c r="G12" s="2">
        <v>146.11799999999999</v>
      </c>
      <c r="H12" s="2">
        <v>218.762</v>
      </c>
      <c r="I12" s="2">
        <v>323.58499999999998</v>
      </c>
      <c r="J12" s="2">
        <v>448.54300000000001</v>
      </c>
      <c r="K12" s="2">
        <v>717.68299999999999</v>
      </c>
      <c r="L12" s="1">
        <f t="shared" ref="L12:P12" si="13">K12*(1+L13)</f>
        <v>968.87205000000006</v>
      </c>
      <c r="M12" s="1">
        <f t="shared" si="13"/>
        <v>1211.0900625000002</v>
      </c>
      <c r="N12" s="1">
        <f t="shared" si="13"/>
        <v>1392.753571875</v>
      </c>
      <c r="O12" s="1">
        <f t="shared" si="13"/>
        <v>1601.6666076562499</v>
      </c>
      <c r="P12" s="1">
        <f t="shared" si="13"/>
        <v>1841.9165988046873</v>
      </c>
      <c r="Q12" s="1">
        <f>P12*(1+Q13)</f>
        <v>2081.3657566492966</v>
      </c>
      <c r="R12" s="1">
        <f t="shared" ref="R12:U12" si="14">Q12*(1+R13)</f>
        <v>2310.3159898807194</v>
      </c>
      <c r="S12" s="1">
        <f t="shared" si="14"/>
        <v>2541.3475888687917</v>
      </c>
      <c r="T12" s="1">
        <f t="shared" si="14"/>
        <v>2770.068871866983</v>
      </c>
      <c r="U12" s="1">
        <f t="shared" si="14"/>
        <v>3019.3750703350115</v>
      </c>
      <c r="X12" s="2">
        <v>97.73</v>
      </c>
      <c r="Y12" s="1">
        <f t="shared" si="9"/>
        <v>121.032</v>
      </c>
      <c r="Z12" s="2">
        <v>133.357</v>
      </c>
      <c r="AA12" s="1">
        <f t="shared" si="10"/>
        <v>190.22799999999998</v>
      </c>
      <c r="AB12" s="2">
        <v>183.15600000000001</v>
      </c>
      <c r="AC12" s="1">
        <f t="shared" si="11"/>
        <v>265.387</v>
      </c>
      <c r="AD12" s="2">
        <v>409.64499999999998</v>
      </c>
      <c r="AE12" s="1">
        <f>K12-AD12</f>
        <v>308.03800000000001</v>
      </c>
    </row>
    <row r="13" spans="2:31" s="8" customFormat="1">
      <c r="D13" s="8" t="s">
        <v>30</v>
      </c>
      <c r="G13" s="8">
        <f t="shared" ref="G13:I13" si="15">G12/F12-1</f>
        <v>0.97262160301324374</v>
      </c>
      <c r="H13" s="8">
        <f t="shared" si="15"/>
        <v>0.49715982972665929</v>
      </c>
      <c r="I13" s="8">
        <f t="shared" si="15"/>
        <v>0.47916457154350378</v>
      </c>
      <c r="J13" s="8">
        <f>J12/I12-1</f>
        <v>0.38616746758965981</v>
      </c>
      <c r="K13" s="8">
        <f>K12/J12-1</f>
        <v>0.60003165805730996</v>
      </c>
      <c r="L13" s="9">
        <v>0.35</v>
      </c>
      <c r="M13" s="9">
        <v>0.25</v>
      </c>
      <c r="N13" s="9">
        <v>0.15</v>
      </c>
      <c r="O13" s="9">
        <v>0.15</v>
      </c>
      <c r="P13" s="9">
        <v>0.15</v>
      </c>
      <c r="Q13" s="9">
        <v>0.13</v>
      </c>
      <c r="R13" s="9">
        <v>0.11</v>
      </c>
      <c r="S13" s="9">
        <v>0.1</v>
      </c>
      <c r="T13" s="9">
        <v>0.09</v>
      </c>
      <c r="U13" s="9">
        <v>0.09</v>
      </c>
      <c r="Z13" s="8">
        <f>Z12/X12-1</f>
        <v>0.36454517548347476</v>
      </c>
      <c r="AA13" s="8">
        <f t="shared" ref="AA13:AE13" si="16">AA12/Y12-1</f>
        <v>0.57171657082424465</v>
      </c>
      <c r="AB13" s="8">
        <f t="shared" si="16"/>
        <v>0.3734262168465099</v>
      </c>
      <c r="AC13" s="8">
        <f t="shared" si="16"/>
        <v>0.39509956473284702</v>
      </c>
      <c r="AD13" s="8">
        <f t="shared" si="16"/>
        <v>1.2365906658804513</v>
      </c>
      <c r="AE13" s="8">
        <f t="shared" si="16"/>
        <v>0.16071246896042379</v>
      </c>
    </row>
    <row r="14" spans="2:31">
      <c r="C14" s="1" t="s">
        <v>34</v>
      </c>
      <c r="F14" s="2">
        <v>29.52</v>
      </c>
      <c r="G14" s="2">
        <v>25.972000000000001</v>
      </c>
      <c r="H14" s="2">
        <v>30.311</v>
      </c>
      <c r="I14" s="2">
        <v>154.292</v>
      </c>
      <c r="J14" s="2">
        <v>494.42500000000001</v>
      </c>
      <c r="K14" s="2">
        <v>420.90100000000001</v>
      </c>
      <c r="L14" s="1">
        <f t="shared" ref="L14:U14" si="17">K14*(1+L15)</f>
        <v>778.66685000000007</v>
      </c>
      <c r="M14" s="1">
        <f t="shared" si="17"/>
        <v>1245.8669600000003</v>
      </c>
      <c r="N14" s="1">
        <f t="shared" si="17"/>
        <v>1681.9203960000004</v>
      </c>
      <c r="O14" s="1">
        <f t="shared" si="17"/>
        <v>2018.3044752000005</v>
      </c>
      <c r="P14" s="1">
        <f t="shared" si="17"/>
        <v>2421.9653702400005</v>
      </c>
      <c r="Q14" s="1">
        <f t="shared" si="17"/>
        <v>2906.3584442880006</v>
      </c>
      <c r="R14" s="1">
        <f t="shared" si="17"/>
        <v>3487.6301331456007</v>
      </c>
      <c r="S14" s="1">
        <f t="shared" si="17"/>
        <v>4185.1561597747204</v>
      </c>
      <c r="T14" s="1">
        <f t="shared" si="17"/>
        <v>5022.1873917296643</v>
      </c>
      <c r="U14" s="1">
        <f t="shared" si="17"/>
        <v>6026.6248700755968</v>
      </c>
      <c r="X14" s="2">
        <v>11.651</v>
      </c>
      <c r="Y14" s="1">
        <f t="shared" si="9"/>
        <v>18.66</v>
      </c>
      <c r="Z14" s="2">
        <v>57.25</v>
      </c>
      <c r="AA14" s="1">
        <f t="shared" si="10"/>
        <v>97.042000000000002</v>
      </c>
      <c r="AB14" s="2">
        <v>175.297</v>
      </c>
      <c r="AC14" s="1">
        <f t="shared" si="11"/>
        <v>319.12800000000004</v>
      </c>
      <c r="AD14" s="2">
        <v>182.15</v>
      </c>
      <c r="AE14" s="1">
        <f>K14-AD14</f>
        <v>238.751</v>
      </c>
    </row>
    <row r="15" spans="2:31" s="8" customFormat="1">
      <c r="D15" s="8" t="s">
        <v>30</v>
      </c>
      <c r="G15" s="8">
        <f t="shared" ref="G15:I15" si="18">G14/F14-1</f>
        <v>-0.12018970189701894</v>
      </c>
      <c r="H15" s="8">
        <f t="shared" si="18"/>
        <v>0.16706453103342045</v>
      </c>
      <c r="I15" s="8">
        <f t="shared" si="18"/>
        <v>4.0902972518227703</v>
      </c>
      <c r="J15" s="8">
        <f>J14/I14-1</f>
        <v>2.2044759287584581</v>
      </c>
      <c r="K15" s="8">
        <f>K14/J14-1</f>
        <v>-0.14870607271072456</v>
      </c>
      <c r="L15" s="9">
        <v>0.85</v>
      </c>
      <c r="M15" s="9">
        <v>0.6</v>
      </c>
      <c r="N15" s="9">
        <v>0.35</v>
      </c>
      <c r="O15" s="9">
        <v>0.2</v>
      </c>
      <c r="P15" s="9">
        <v>0.2</v>
      </c>
      <c r="Q15" s="9">
        <v>0.2</v>
      </c>
      <c r="R15" s="9">
        <v>0.2</v>
      </c>
      <c r="S15" s="9">
        <v>0.2</v>
      </c>
      <c r="T15" s="9">
        <v>0.2</v>
      </c>
      <c r="U15" s="9">
        <v>0.2</v>
      </c>
      <c r="Z15" s="8">
        <f>Z14/X14-1</f>
        <v>3.9137413097588194</v>
      </c>
      <c r="AA15" s="8">
        <f t="shared" ref="AA15:AE15" si="19">AA14/Y14-1</f>
        <v>4.2005359056806002</v>
      </c>
      <c r="AB15" s="8">
        <f t="shared" si="19"/>
        <v>2.0619563318777292</v>
      </c>
      <c r="AC15" s="8">
        <f t="shared" si="19"/>
        <v>2.288555470827065</v>
      </c>
      <c r="AD15" s="8">
        <f t="shared" si="19"/>
        <v>3.9093652486922315E-2</v>
      </c>
      <c r="AE15" s="8">
        <f t="shared" si="19"/>
        <v>-0.25186445564162352</v>
      </c>
    </row>
    <row r="16" spans="2:31">
      <c r="C16" s="1" t="s">
        <v>35</v>
      </c>
      <c r="F16" s="2">
        <v>0</v>
      </c>
      <c r="G16" s="2">
        <v>0</v>
      </c>
      <c r="H16" s="2">
        <v>0</v>
      </c>
      <c r="I16" s="2">
        <v>0</v>
      </c>
      <c r="J16" s="2">
        <v>3.1469999999999998</v>
      </c>
      <c r="K16" s="2">
        <v>21.364999999999998</v>
      </c>
      <c r="X16" s="2">
        <v>0</v>
      </c>
      <c r="Y16" s="1">
        <f t="shared" si="9"/>
        <v>0</v>
      </c>
      <c r="Z16" s="2">
        <v>0</v>
      </c>
      <c r="AA16" s="1">
        <f t="shared" si="10"/>
        <v>0</v>
      </c>
      <c r="AB16" s="2">
        <v>0</v>
      </c>
      <c r="AC16" s="1">
        <f t="shared" si="11"/>
        <v>3.1469999999999998</v>
      </c>
      <c r="AD16" s="2">
        <v>6.1580000000000004</v>
      </c>
      <c r="AE16" s="1">
        <f>K16-AD16</f>
        <v>15.206999999999997</v>
      </c>
    </row>
    <row r="18" spans="2:31" s="10" customFormat="1" ht="19">
      <c r="C18" s="11" t="s">
        <v>36</v>
      </c>
    </row>
    <row r="19" spans="2:31" s="10" customFormat="1">
      <c r="C19" s="10" t="s">
        <v>31</v>
      </c>
      <c r="F19" s="12">
        <f>F8/F$5</f>
        <v>0.98200473814603628</v>
      </c>
      <c r="G19" s="12">
        <f>G8/G$5</f>
        <v>0.97795889844955342</v>
      </c>
      <c r="H19" s="12">
        <f>H8/H$5</f>
        <v>0.97658465550517659</v>
      </c>
      <c r="I19" s="12">
        <f>I8/I$5</f>
        <v>0.9718384003865852</v>
      </c>
      <c r="J19" s="12">
        <f>J8/J$5</f>
        <v>0.96357596866250494</v>
      </c>
      <c r="K19" s="12">
        <f t="shared" ref="K19:O19" si="20">K8/K$5</f>
        <v>0.95874213744163528</v>
      </c>
      <c r="L19" s="12">
        <f t="shared" si="20"/>
        <v>0.97180486040943226</v>
      </c>
      <c r="M19" s="12">
        <f t="shared" si="20"/>
        <v>0.96974318400240944</v>
      </c>
      <c r="N19" s="12">
        <f t="shared" si="20"/>
        <v>0.96748340875586003</v>
      </c>
      <c r="O19" s="12">
        <f t="shared" si="20"/>
        <v>0.96599599073254605</v>
      </c>
      <c r="P19" s="12">
        <f>P8/P$5</f>
        <v>0.96421243099870679</v>
      </c>
      <c r="Q19" s="12">
        <f t="shared" ref="Q19:U19" si="21">Q8/Q$5</f>
        <v>0.96264085129490529</v>
      </c>
      <c r="R19" s="12">
        <f t="shared" si="21"/>
        <v>0.96059038830921961</v>
      </c>
      <c r="S19" s="12">
        <f t="shared" si="21"/>
        <v>0.95787984234740686</v>
      </c>
      <c r="T19" s="12">
        <f t="shared" si="21"/>
        <v>0.95484499230251885</v>
      </c>
      <c r="U19" s="12">
        <f t="shared" si="21"/>
        <v>0.95153959812154432</v>
      </c>
      <c r="X19" s="12">
        <f t="shared" ref="X19:AE19" si="22">X8/X$5</f>
        <v>0.97700178614043343</v>
      </c>
      <c r="Y19" s="12">
        <f t="shared" si="22"/>
        <v>0.97624732086912225</v>
      </c>
      <c r="Z19" s="12">
        <f t="shared" si="22"/>
        <v>0.97404109473372258</v>
      </c>
      <c r="AA19" s="12">
        <f t="shared" si="22"/>
        <v>0.97015828047206609</v>
      </c>
      <c r="AB19" s="12">
        <f t="shared" si="22"/>
        <v>0.96894180284174969</v>
      </c>
      <c r="AC19" s="12">
        <f t="shared" si="22"/>
        <v>0.95935345853750642</v>
      </c>
      <c r="AD19" s="12">
        <f t="shared" si="22"/>
        <v>0.93750879171936585</v>
      </c>
      <c r="AE19" s="12">
        <f t="shared" si="22"/>
        <v>0.96973471980226622</v>
      </c>
    </row>
    <row r="20" spans="2:31" s="10" customFormat="1">
      <c r="C20" s="10" t="s">
        <v>32</v>
      </c>
      <c r="F20" s="12">
        <f>F10/F$5</f>
        <v>0</v>
      </c>
      <c r="G20" s="12">
        <f>G10/G$5</f>
        <v>0</v>
      </c>
      <c r="H20" s="12">
        <f>H10/H$5</f>
        <v>0</v>
      </c>
      <c r="I20" s="12">
        <f>I10/I$5</f>
        <v>0</v>
      </c>
      <c r="J20" s="12">
        <f>J10/J$5</f>
        <v>7.9658704963497221E-4</v>
      </c>
      <c r="K20" s="12">
        <f t="shared" ref="K20:O20" si="23">K10/K$5</f>
        <v>7.2041015920211796E-4</v>
      </c>
      <c r="L20" s="12">
        <f t="shared" si="23"/>
        <v>8.0765805051138083E-4</v>
      </c>
      <c r="M20" s="12">
        <f t="shared" si="23"/>
        <v>1.1302279985962256E-3</v>
      </c>
      <c r="N20" s="12">
        <f t="shared" si="23"/>
        <v>1.5369889955624181E-3</v>
      </c>
      <c r="O20" s="12">
        <f t="shared" si="23"/>
        <v>1.8303060291651528E-3</v>
      </c>
      <c r="P20" s="12">
        <f>P10/P$5</f>
        <v>1.9605057792019607E-3</v>
      </c>
      <c r="Q20" s="12">
        <f t="shared" ref="Q20:U20" si="24">Q10/Q$5</f>
        <v>2.0138892751761705E-3</v>
      </c>
      <c r="R20" s="12">
        <f t="shared" si="24"/>
        <v>2.0161420170021413E-3</v>
      </c>
      <c r="S20" s="12">
        <f t="shared" si="24"/>
        <v>2.0485187044556414E-3</v>
      </c>
      <c r="T20" s="12">
        <f t="shared" si="24"/>
        <v>2.0904586382820231E-3</v>
      </c>
      <c r="U20" s="12">
        <f t="shared" si="24"/>
        <v>2.1309730272672618E-3</v>
      </c>
      <c r="X20" s="12">
        <f t="shared" ref="X20:AE20" si="25">X10/X$5</f>
        <v>0</v>
      </c>
      <c r="Y20" s="12">
        <f t="shared" si="25"/>
        <v>0</v>
      </c>
      <c r="Z20" s="12">
        <f t="shared" si="25"/>
        <v>0</v>
      </c>
      <c r="AA20" s="12">
        <f t="shared" si="25"/>
        <v>0</v>
      </c>
      <c r="AB20" s="12">
        <f t="shared" si="25"/>
        <v>4.071100691890446E-4</v>
      </c>
      <c r="AC20" s="12">
        <f t="shared" si="25"/>
        <v>1.1030762996658539E-3</v>
      </c>
      <c r="AD20" s="12">
        <f t="shared" si="25"/>
        <v>1.2293295343884935E-3</v>
      </c>
      <c r="AE20" s="12">
        <f t="shared" si="25"/>
        <v>4.5694069848543911E-4</v>
      </c>
    </row>
    <row r="21" spans="2:31" s="10" customFormat="1">
      <c r="C21" s="10" t="s">
        <v>33</v>
      </c>
      <c r="F21" s="12">
        <f>F12/F$5</f>
        <v>1.2867307938843938E-2</v>
      </c>
      <c r="G21" s="12">
        <f>G12/G$5</f>
        <v>1.8714635808868337E-2</v>
      </c>
      <c r="H21" s="12">
        <f>H12/H$5</f>
        <v>2.056580838700519E-2</v>
      </c>
      <c r="I21" s="12">
        <f>I12/I$5</f>
        <v>1.9069072608447118E-2</v>
      </c>
      <c r="J21" s="12">
        <f>J12/J$5</f>
        <v>1.6890590195916582E-2</v>
      </c>
      <c r="K21" s="12">
        <f t="shared" ref="K21:O21" si="26">K12/K$5</f>
        <v>2.5081309997412128E-2</v>
      </c>
      <c r="L21" s="12">
        <f t="shared" si="26"/>
        <v>1.5184191541631222E-2</v>
      </c>
      <c r="M21" s="12">
        <f t="shared" si="26"/>
        <v>1.4357158451319128E-2</v>
      </c>
      <c r="N21" s="12">
        <f t="shared" si="26"/>
        <v>1.4033016878467048E-2</v>
      </c>
      <c r="O21" s="12">
        <f t="shared" si="26"/>
        <v>1.4235347449446783E-2</v>
      </c>
      <c r="P21" s="12">
        <f>P12/P$5</f>
        <v>1.4612653373129152E-2</v>
      </c>
      <c r="Q21" s="12">
        <f t="shared" ref="Q21:U21" si="27">Q12/Q$5</f>
        <v>1.4749494894584096E-2</v>
      </c>
      <c r="R21" s="12">
        <f t="shared" si="27"/>
        <v>1.4900230024793164E-2</v>
      </c>
      <c r="S21" s="12">
        <f t="shared" si="27"/>
        <v>1.5139508848620918E-2</v>
      </c>
      <c r="T21" s="12">
        <f t="shared" si="27"/>
        <v>1.5309014846851975E-2</v>
      </c>
      <c r="U21" s="12">
        <f t="shared" si="27"/>
        <v>1.5463842960161296E-2</v>
      </c>
      <c r="X21" s="12">
        <f t="shared" ref="X21:AE21" si="28">X12/X$5</f>
        <v>2.0548499652548905E-2</v>
      </c>
      <c r="Y21" s="12">
        <f t="shared" si="28"/>
        <v>2.0579806005844137E-2</v>
      </c>
      <c r="Z21" s="12">
        <f t="shared" si="28"/>
        <v>1.8161986336257076E-2</v>
      </c>
      <c r="AA21" s="12">
        <f t="shared" si="28"/>
        <v>1.9760958757823233E-2</v>
      </c>
      <c r="AB21" s="12">
        <f t="shared" si="28"/>
        <v>1.5661552579791779E-2</v>
      </c>
      <c r="AC21" s="12">
        <f t="shared" si="28"/>
        <v>1.7857750865578111E-2</v>
      </c>
      <c r="AD21" s="12">
        <f t="shared" si="28"/>
        <v>4.196922219473076E-2</v>
      </c>
      <c r="AE21" s="12">
        <f t="shared" si="28"/>
        <v>1.6338374797453013E-2</v>
      </c>
    </row>
    <row r="22" spans="2:31" s="10" customFormat="1">
      <c r="C22" s="10" t="s">
        <v>34</v>
      </c>
      <c r="F22" s="12">
        <f>F14/F$5</f>
        <v>5.127953915119856E-3</v>
      </c>
      <c r="G22" s="12">
        <f>G14/G$5</f>
        <v>3.3264657415782348E-3</v>
      </c>
      <c r="H22" s="12">
        <f>H14/H$5</f>
        <v>2.8495361078181508E-3</v>
      </c>
      <c r="I22" s="12">
        <f>I14/I$5</f>
        <v>9.0925270049678538E-3</v>
      </c>
      <c r="J22" s="12">
        <f>J14/J$5</f>
        <v>1.8618348870935577E-2</v>
      </c>
      <c r="K22" s="12">
        <f t="shared" ref="K22:O22" si="29">K14/K$5</f>
        <v>1.470948658282384E-2</v>
      </c>
      <c r="L22" s="12">
        <f t="shared" si="29"/>
        <v>1.2203289998425106E-2</v>
      </c>
      <c r="M22" s="12">
        <f t="shared" si="29"/>
        <v>1.4769429547675171E-2</v>
      </c>
      <c r="N22" s="12">
        <f t="shared" si="29"/>
        <v>1.6946585370110477E-2</v>
      </c>
      <c r="O22" s="12">
        <f t="shared" si="29"/>
        <v>1.793835578884196E-2</v>
      </c>
      <c r="P22" s="12">
        <f>P14/P$5</f>
        <v>1.9214409848962093E-2</v>
      </c>
      <c r="Q22" s="12">
        <f t="shared" ref="Q22:U22" si="30">Q14/Q$5</f>
        <v>2.0595764535334498E-2</v>
      </c>
      <c r="R22" s="12">
        <f t="shared" si="30"/>
        <v>2.2493239648985187E-2</v>
      </c>
      <c r="S22" s="12">
        <f t="shared" si="30"/>
        <v>2.4932130099516669E-2</v>
      </c>
      <c r="T22" s="12">
        <f t="shared" si="30"/>
        <v>2.775553421234726E-2</v>
      </c>
      <c r="U22" s="12">
        <f t="shared" si="30"/>
        <v>3.0865585891027173E-2</v>
      </c>
      <c r="X22" s="12">
        <f t="shared" ref="X22:AE22" si="31">X14/X$5</f>
        <v>2.4497142070177766E-3</v>
      </c>
      <c r="Y22" s="12">
        <f t="shared" si="31"/>
        <v>3.1728731250334754E-3</v>
      </c>
      <c r="Z22" s="12">
        <f t="shared" si="31"/>
        <v>7.7969189300203029E-3</v>
      </c>
      <c r="AA22" s="12">
        <f t="shared" si="31"/>
        <v>1.0080760770111037E-2</v>
      </c>
      <c r="AB22" s="12">
        <f t="shared" si="31"/>
        <v>1.4989534509269471E-2</v>
      </c>
      <c r="AC22" s="12">
        <f t="shared" si="31"/>
        <v>2.1473954331712602E-2</v>
      </c>
      <c r="AD22" s="12">
        <f t="shared" si="31"/>
        <v>1.8661753036825074E-2</v>
      </c>
      <c r="AE22" s="12">
        <f t="shared" si="31"/>
        <v>1.2663383482773892E-2</v>
      </c>
    </row>
    <row r="23" spans="2:31" s="10" customFormat="1">
      <c r="C23" s="10" t="s">
        <v>35</v>
      </c>
      <c r="F23" s="12">
        <f t="shared" ref="F23:U23" si="32">F16/F$5</f>
        <v>0</v>
      </c>
      <c r="G23" s="12">
        <f t="shared" si="32"/>
        <v>0</v>
      </c>
      <c r="H23" s="12">
        <f t="shared" si="32"/>
        <v>0</v>
      </c>
      <c r="I23" s="12">
        <f t="shared" si="32"/>
        <v>0</v>
      </c>
      <c r="J23" s="12">
        <f t="shared" si="32"/>
        <v>1.1850522100790666E-4</v>
      </c>
      <c r="K23" s="12">
        <f t="shared" si="32"/>
        <v>7.4665581892661536E-4</v>
      </c>
      <c r="L23" s="12">
        <f t="shared" si="32"/>
        <v>0</v>
      </c>
      <c r="M23" s="12">
        <f t="shared" si="32"/>
        <v>0</v>
      </c>
      <c r="N23" s="12">
        <f t="shared" si="32"/>
        <v>0</v>
      </c>
      <c r="O23" s="12">
        <f t="shared" si="32"/>
        <v>0</v>
      </c>
      <c r="P23" s="12">
        <f t="shared" si="32"/>
        <v>0</v>
      </c>
      <c r="Q23" s="12">
        <f t="shared" si="32"/>
        <v>0</v>
      </c>
      <c r="R23" s="12">
        <f t="shared" si="32"/>
        <v>0</v>
      </c>
      <c r="S23" s="12">
        <f t="shared" si="32"/>
        <v>0</v>
      </c>
      <c r="T23" s="12">
        <f t="shared" si="32"/>
        <v>0</v>
      </c>
      <c r="U23" s="12">
        <f t="shared" si="32"/>
        <v>0</v>
      </c>
      <c r="X23" s="12">
        <f t="shared" ref="X23:AE23" si="33">X16/X$5</f>
        <v>0</v>
      </c>
      <c r="Y23" s="12">
        <f t="shared" si="33"/>
        <v>0</v>
      </c>
      <c r="Z23" s="12">
        <f t="shared" si="33"/>
        <v>0</v>
      </c>
      <c r="AA23" s="12">
        <f t="shared" si="33"/>
        <v>0</v>
      </c>
      <c r="AB23" s="12">
        <f t="shared" si="33"/>
        <v>0</v>
      </c>
      <c r="AC23" s="12">
        <f t="shared" si="33"/>
        <v>2.1175996553702447E-4</v>
      </c>
      <c r="AD23" s="12">
        <f t="shared" si="33"/>
        <v>6.3090351468991941E-4</v>
      </c>
      <c r="AE23" s="12">
        <f t="shared" si="33"/>
        <v>8.0658121902125036E-4</v>
      </c>
    </row>
    <row r="25" spans="2:31" s="6" customFormat="1">
      <c r="B25" s="6" t="s">
        <v>37</v>
      </c>
      <c r="F25" s="7">
        <v>-2599.7399999999998</v>
      </c>
      <c r="G25" s="7">
        <v>-3179.2809999999999</v>
      </c>
      <c r="H25" s="7">
        <v>-4313.2299999999996</v>
      </c>
      <c r="I25" s="7">
        <v>-6935.0330000000004</v>
      </c>
      <c r="J25" s="7">
        <v>-11238.992</v>
      </c>
      <c r="K25" s="7">
        <v>-12261.465</v>
      </c>
      <c r="L25" s="6">
        <f t="shared" ref="L25:U25" si="34">L32-L5</f>
        <v>-27437.416101986521</v>
      </c>
      <c r="M25" s="6">
        <f t="shared" si="34"/>
        <v>-35428.864839425449</v>
      </c>
      <c r="N25" s="6">
        <f t="shared" si="34"/>
        <v>-41188.059369829847</v>
      </c>
      <c r="O25" s="6">
        <f t="shared" si="34"/>
        <v>-46130.472857870613</v>
      </c>
      <c r="P25" s="6">
        <f t="shared" si="34"/>
        <v>-51050.01832779088</v>
      </c>
      <c r="Q25" s="6">
        <f t="shared" si="34"/>
        <v>-56445.750082290848</v>
      </c>
      <c r="R25" s="6">
        <f t="shared" si="34"/>
        <v>-62020.94829506606</v>
      </c>
      <c r="S25" s="6">
        <f t="shared" si="34"/>
        <v>-67144.782945855928</v>
      </c>
      <c r="T25" s="6">
        <f t="shared" si="34"/>
        <v>-72377.456017337347</v>
      </c>
      <c r="U25" s="6">
        <f t="shared" si="34"/>
        <v>-78101.5450845866</v>
      </c>
      <c r="X25" s="7">
        <v>-1949.182</v>
      </c>
      <c r="Y25" s="6">
        <f>H25-X25</f>
        <v>-2364.0479999999998</v>
      </c>
      <c r="Z25" s="7">
        <v>-3066.3270000000002</v>
      </c>
      <c r="AA25" s="6">
        <f>I25-Z25</f>
        <v>-3868.7060000000001</v>
      </c>
      <c r="AB25" s="7">
        <v>-4902.5829999999996</v>
      </c>
      <c r="AC25" s="6">
        <f>J25-AB25</f>
        <v>-6336.4090000000006</v>
      </c>
      <c r="AD25" s="7">
        <v>-4348.1840000000002</v>
      </c>
      <c r="AE25" s="6">
        <f>K25-AD25</f>
        <v>-7913.2809999999999</v>
      </c>
    </row>
    <row r="26" spans="2:31" hidden="1" outlineLevel="1"/>
    <row r="27" spans="2:31" hidden="1" outlineLevel="1">
      <c r="C27" s="1" t="s">
        <v>38</v>
      </c>
      <c r="F27" s="2">
        <v>-2438.9850000000001</v>
      </c>
      <c r="G27" s="2">
        <v>-3000.654</v>
      </c>
      <c r="H27" s="2">
        <v>-4038.8510000000001</v>
      </c>
      <c r="I27" s="2"/>
      <c r="J27" s="2"/>
      <c r="X27" s="2">
        <v>-1817.53</v>
      </c>
      <c r="Y27" s="1">
        <f>H27-X27</f>
        <v>-2221.3209999999999</v>
      </c>
      <c r="Z27" s="2">
        <v>-2885.3539999999998</v>
      </c>
    </row>
    <row r="28" spans="2:31" s="13" customFormat="1" hidden="1" outlineLevel="1">
      <c r="D28" s="13" t="s">
        <v>39</v>
      </c>
      <c r="F28" s="13">
        <f t="shared" ref="F28:G28" si="35">F27/F25</f>
        <v>0.93816497034318824</v>
      </c>
      <c r="G28" s="13">
        <f t="shared" si="35"/>
        <v>0.94381528402176473</v>
      </c>
      <c r="H28" s="13">
        <f>H27/H25</f>
        <v>0.93638665223046313</v>
      </c>
      <c r="X28" s="13">
        <f>X27/X25</f>
        <v>0.9324578207678913</v>
      </c>
      <c r="Y28" s="13">
        <f>Y27/Y25</f>
        <v>0.93962601436180659</v>
      </c>
      <c r="Z28" s="13">
        <f>Z27/Z25</f>
        <v>0.94098052816936995</v>
      </c>
    </row>
    <row r="29" spans="2:31" hidden="1" outlineLevel="1">
      <c r="C29" s="1" t="s">
        <v>40</v>
      </c>
      <c r="F29" s="2">
        <v>-147.899</v>
      </c>
      <c r="G29" s="2">
        <v>-165.98</v>
      </c>
      <c r="H29" s="2">
        <v>-254.09899999999999</v>
      </c>
      <c r="I29" s="2"/>
      <c r="J29" s="2"/>
      <c r="X29" s="2">
        <v>-122.227</v>
      </c>
      <c r="Y29" s="1">
        <f t="shared" ref="Y29:Y30" si="36">H29-X29</f>
        <v>-131.87199999999999</v>
      </c>
      <c r="Z29" s="2">
        <v>-167.23099999999999</v>
      </c>
    </row>
    <row r="30" spans="2:31" hidden="1" outlineLevel="1">
      <c r="C30" s="1" t="s">
        <v>41</v>
      </c>
      <c r="F30" s="2">
        <v>-12.856</v>
      </c>
      <c r="G30" s="2">
        <v>-12.647</v>
      </c>
      <c r="H30" s="2">
        <v>-20.28</v>
      </c>
      <c r="I30" s="2"/>
      <c r="J30" s="2"/>
      <c r="X30" s="2">
        <v>-9.4250000000000007</v>
      </c>
      <c r="Y30" s="1">
        <f t="shared" si="36"/>
        <v>-10.855</v>
      </c>
      <c r="Z30" s="2">
        <v>-13.742000000000001</v>
      </c>
    </row>
    <row r="31" spans="2:31" collapsed="1"/>
    <row r="32" spans="2:31" s="6" customFormat="1">
      <c r="B32" s="6" t="s">
        <v>42</v>
      </c>
      <c r="C32" s="6" t="s">
        <v>29</v>
      </c>
      <c r="F32" s="6">
        <f t="shared" ref="F32:K32" si="37">F5+F25</f>
        <v>3156.942</v>
      </c>
      <c r="G32" s="6">
        <f t="shared" si="37"/>
        <v>4628.4049999999997</v>
      </c>
      <c r="H32" s="6">
        <f t="shared" si="37"/>
        <v>6323.9400000000005</v>
      </c>
      <c r="I32" s="6">
        <f t="shared" si="37"/>
        <v>10034.066999999999</v>
      </c>
      <c r="J32" s="6">
        <f t="shared" si="37"/>
        <v>15316.800000000001</v>
      </c>
      <c r="K32" s="6">
        <f t="shared" si="37"/>
        <v>16352.79</v>
      </c>
      <c r="L32" s="6">
        <f t="shared" ref="L32:U32" si="38">L33*L5</f>
        <v>36370.528321237944</v>
      </c>
      <c r="M32" s="6">
        <f t="shared" si="38"/>
        <v>48925.575254444651</v>
      </c>
      <c r="N32" s="6">
        <f t="shared" si="38"/>
        <v>58060.276461085436</v>
      </c>
      <c r="O32" s="6">
        <f t="shared" si="38"/>
        <v>66382.875575960148</v>
      </c>
      <c r="P32" s="6">
        <f t="shared" si="38"/>
        <v>74999.409642063125</v>
      </c>
      <c r="Q32" s="6">
        <f t="shared" si="38"/>
        <v>84668.625123436272</v>
      </c>
      <c r="R32" s="6">
        <f t="shared" si="38"/>
        <v>93031.422442599098</v>
      </c>
      <c r="S32" s="6">
        <f t="shared" si="38"/>
        <v>100717.17441878389</v>
      </c>
      <c r="T32" s="6">
        <f t="shared" si="38"/>
        <v>108566.18402600601</v>
      </c>
      <c r="U32" s="6">
        <f t="shared" si="38"/>
        <v>117152.3176268799</v>
      </c>
      <c r="X32" s="6">
        <f t="shared" ref="X32:AE32" si="39">X5+X25</f>
        <v>2806.8829999999998</v>
      </c>
      <c r="Y32" s="6">
        <f t="shared" si="39"/>
        <v>3517.0570000000007</v>
      </c>
      <c r="Z32" s="6">
        <f t="shared" si="39"/>
        <v>4276.317</v>
      </c>
      <c r="AA32" s="6">
        <f t="shared" si="39"/>
        <v>5757.7499999999982</v>
      </c>
      <c r="AB32" s="6">
        <f t="shared" si="39"/>
        <v>6792.0430000000006</v>
      </c>
      <c r="AC32" s="6">
        <f t="shared" si="39"/>
        <v>8524.7570000000014</v>
      </c>
      <c r="AD32" s="6">
        <f t="shared" si="39"/>
        <v>5412.4209999999994</v>
      </c>
      <c r="AE32" s="6">
        <f t="shared" si="39"/>
        <v>10940.369000000002</v>
      </c>
    </row>
    <row r="33" spans="2:31" s="8" customFormat="1">
      <c r="B33" s="8" t="s">
        <v>43</v>
      </c>
      <c r="F33" s="8">
        <f t="shared" ref="F33:I33" si="40">F32/F$5</f>
        <v>0.54839610734099953</v>
      </c>
      <c r="G33" s="8">
        <f t="shared" si="40"/>
        <v>0.59280111930730817</v>
      </c>
      <c r="H33" s="8">
        <f t="shared" si="40"/>
        <v>0.59451339030964068</v>
      </c>
      <c r="I33" s="8">
        <f t="shared" si="40"/>
        <v>0.59131403551160644</v>
      </c>
      <c r="J33" s="8">
        <f>J32/J$5</f>
        <v>0.57677812810101847</v>
      </c>
      <c r="K33" s="8">
        <f>K32/K$5</f>
        <v>0.57149102781113825</v>
      </c>
      <c r="L33" s="9">
        <v>0.56999999999999995</v>
      </c>
      <c r="M33" s="9">
        <v>0.57999999999999996</v>
      </c>
      <c r="N33" s="9">
        <v>0.58499999999999996</v>
      </c>
      <c r="O33" s="9">
        <v>0.59</v>
      </c>
      <c r="P33" s="9">
        <v>0.59499999999999997</v>
      </c>
      <c r="Q33" s="9">
        <v>0.6</v>
      </c>
      <c r="R33" s="9">
        <v>0.6</v>
      </c>
      <c r="S33" s="9">
        <v>0.6</v>
      </c>
      <c r="T33" s="9">
        <v>0.6</v>
      </c>
      <c r="U33" s="9">
        <v>0.6</v>
      </c>
      <c r="X33" s="8">
        <f>X32/X$5</f>
        <v>0.59016918397877238</v>
      </c>
      <c r="Y33" s="8">
        <f t="shared" ref="Y33:AE33" si="41">Y32/Y$5</f>
        <v>0.59802656133498733</v>
      </c>
      <c r="Z33" s="8">
        <f t="shared" si="41"/>
        <v>0.58239470686581019</v>
      </c>
      <c r="AA33" s="8">
        <f t="shared" si="41"/>
        <v>0.5981173133705695</v>
      </c>
      <c r="AB33" s="8">
        <f t="shared" si="41"/>
        <v>0.58078325890883564</v>
      </c>
      <c r="AC33" s="8">
        <f t="shared" si="41"/>
        <v>0.57362638974626901</v>
      </c>
      <c r="AD33" s="8">
        <f t="shared" si="41"/>
        <v>0.55451695873360307</v>
      </c>
      <c r="AE33" s="8">
        <f t="shared" si="41"/>
        <v>0.5802785667496746</v>
      </c>
    </row>
    <row r="35" spans="2:31" s="6" customFormat="1">
      <c r="B35" s="6" t="s">
        <v>44</v>
      </c>
      <c r="F35" s="6">
        <f>F37+F42+F44+F45+F46+F48</f>
        <v>-2637.348</v>
      </c>
      <c r="G35" s="6">
        <f>G37+G42+G44+G45+G46+G48</f>
        <v>-3348.4670000000006</v>
      </c>
      <c r="H35" s="6">
        <f>H37+H42+H44+H45+H46+H48</f>
        <v>-4807.5729999999994</v>
      </c>
      <c r="I35" s="6">
        <f>I37+I42+I44+I45+I46+I48</f>
        <v>-7890.8670000000002</v>
      </c>
      <c r="J35" s="6">
        <f>J37+J42+J44+J45+J46+J48</f>
        <v>-12255.808999999999</v>
      </c>
      <c r="K35" s="6">
        <f t="shared" ref="K35:U35" si="42">K37+K42+K44+K45+K46+K48</f>
        <v>-15362.849999999999</v>
      </c>
      <c r="L35" s="6">
        <f t="shared" si="42"/>
        <v>-30979.828320745859</v>
      </c>
      <c r="M35" s="6">
        <f t="shared" si="42"/>
        <v>-40058.18912257575</v>
      </c>
      <c r="N35" s="6">
        <f t="shared" si="42"/>
        <v>-47941.691702690892</v>
      </c>
      <c r="O35" s="6">
        <f t="shared" si="42"/>
        <v>-55829.069921069597</v>
      </c>
      <c r="P35" s="6">
        <f t="shared" si="42"/>
        <v>-64117.583578069294</v>
      </c>
      <c r="Q35" s="6">
        <f t="shared" si="42"/>
        <v>-72931.769451127213</v>
      </c>
      <c r="R35" s="6">
        <f t="shared" si="42"/>
        <v>-80644.499981434783</v>
      </c>
      <c r="S35" s="6">
        <f t="shared" si="42"/>
        <v>-88348.770625924706</v>
      </c>
      <c r="T35" s="6">
        <f t="shared" si="42"/>
        <v>-96371.883060125096</v>
      </c>
      <c r="U35" s="6">
        <f t="shared" si="42"/>
        <v>-104826.2298408839</v>
      </c>
      <c r="X35" s="6">
        <f t="shared" ref="X35:AE35" si="43">X37+X42+X44+X45+X46+X48</f>
        <v>-2090.848</v>
      </c>
      <c r="Y35" s="6">
        <f t="shared" si="43"/>
        <v>-2716.7250000000004</v>
      </c>
      <c r="Z35" s="6">
        <f t="shared" si="43"/>
        <v>-3417.6420000000007</v>
      </c>
      <c r="AA35" s="6">
        <f t="shared" si="43"/>
        <v>-4473.2250000000004</v>
      </c>
      <c r="AB35" s="6">
        <f t="shared" si="43"/>
        <v>-5573.232</v>
      </c>
      <c r="AC35" s="6">
        <f t="shared" si="43"/>
        <v>-6682.5770000000002</v>
      </c>
      <c r="AD35" s="6">
        <f t="shared" si="43"/>
        <v>-6409.0540000000001</v>
      </c>
      <c r="AE35" s="6">
        <f t="shared" si="43"/>
        <v>-8953.7960000000003</v>
      </c>
    </row>
    <row r="36" spans="2:31" s="8" customFormat="1">
      <c r="C36" s="8" t="s">
        <v>30</v>
      </c>
      <c r="G36" s="8">
        <f t="shared" ref="G36:I36" si="44">G35/F35-1</f>
        <v>0.26963411730268461</v>
      </c>
      <c r="H36" s="8">
        <f t="shared" si="44"/>
        <v>0.43575343582600601</v>
      </c>
      <c r="I36" s="8">
        <f t="shared" si="44"/>
        <v>0.64134106751993181</v>
      </c>
      <c r="J36" s="8">
        <f>J35/I35-1</f>
        <v>0.55316380316636926</v>
      </c>
      <c r="K36" s="8">
        <f>K35/J35-1</f>
        <v>0.25351578178152079</v>
      </c>
      <c r="L36" s="8">
        <f t="shared" ref="L36:U36" si="45">L35/K35-1</f>
        <v>1.0165417432797863</v>
      </c>
      <c r="M36" s="8">
        <f t="shared" si="45"/>
        <v>0.29304103004826865</v>
      </c>
      <c r="N36" s="8">
        <f t="shared" si="45"/>
        <v>0.19680127216914567</v>
      </c>
      <c r="O36" s="8">
        <f t="shared" si="45"/>
        <v>0.16452023151982353</v>
      </c>
      <c r="P36" s="8">
        <f t="shared" si="45"/>
        <v>0.14846232739893184</v>
      </c>
      <c r="Q36" s="8">
        <f t="shared" si="45"/>
        <v>0.13746909008705543</v>
      </c>
      <c r="R36" s="8">
        <f t="shared" si="45"/>
        <v>0.10575268622100276</v>
      </c>
      <c r="S36" s="8">
        <f t="shared" si="45"/>
        <v>9.553373939033083E-2</v>
      </c>
      <c r="T36" s="8">
        <f t="shared" si="45"/>
        <v>9.0811817497391534E-2</v>
      </c>
      <c r="U36" s="8">
        <f t="shared" si="45"/>
        <v>8.7726279826702669E-2</v>
      </c>
      <c r="Z36" s="8">
        <f>Z35/X35-1</f>
        <v>0.63457219271797882</v>
      </c>
      <c r="AA36" s="8">
        <f t="shared" ref="AA36:AE36" si="46">AA35/Y35-1</f>
        <v>0.64655053419098363</v>
      </c>
      <c r="AB36" s="8">
        <f t="shared" si="46"/>
        <v>0.63072434151967904</v>
      </c>
      <c r="AC36" s="8">
        <f t="shared" si="46"/>
        <v>0.49390585092410944</v>
      </c>
      <c r="AD36" s="8">
        <f t="shared" si="46"/>
        <v>0.1499707889425741</v>
      </c>
      <c r="AE36" s="8">
        <f t="shared" si="46"/>
        <v>0.33987172912485697</v>
      </c>
    </row>
    <row r="37" spans="2:31">
      <c r="C37" s="1" t="s">
        <v>45</v>
      </c>
      <c r="F37" s="2">
        <v>-1571.877</v>
      </c>
      <c r="G37" s="2">
        <v>-2044.2919999999999</v>
      </c>
      <c r="H37" s="2">
        <v>-3119.6990000000001</v>
      </c>
      <c r="I37" s="2">
        <v>-5016.3209999999999</v>
      </c>
      <c r="J37" s="2">
        <v>-7992.5550000000003</v>
      </c>
      <c r="K37" s="2">
        <v>-9676.51</v>
      </c>
      <c r="L37" s="1">
        <f t="shared" ref="L37:P37" si="47">-L40*L38</f>
        <v>-20606.174868002508</v>
      </c>
      <c r="M37" s="1">
        <f t="shared" si="47"/>
        <v>-26224.209375301147</v>
      </c>
      <c r="N37" s="1">
        <f t="shared" si="47"/>
        <v>-30873.319210882422</v>
      </c>
      <c r="O37" s="1">
        <f t="shared" si="47"/>
        <v>-35777.773848160803</v>
      </c>
      <c r="P37" s="1">
        <f t="shared" si="47"/>
        <v>-40948.709776386087</v>
      </c>
      <c r="Q37" s="1">
        <f>-Q40*Q38</f>
        <v>-46397.701863841539</v>
      </c>
      <c r="R37" s="1">
        <f t="shared" ref="R37:U37" si="48">-R40*R38</f>
        <v>-50687.730731749318</v>
      </c>
      <c r="S37" s="1">
        <f t="shared" si="48"/>
        <v>-55193.4034000541</v>
      </c>
      <c r="T37" s="1">
        <f t="shared" si="48"/>
        <v>-59923.7974707986</v>
      </c>
      <c r="U37" s="1">
        <f t="shared" si="48"/>
        <v>-64888.341122727717</v>
      </c>
      <c r="X37" s="2">
        <v>-1390.723</v>
      </c>
      <c r="Y37" s="1">
        <f t="shared" ref="Y37:Y48" si="49">H37-X37</f>
        <v>-1728.9760000000001</v>
      </c>
      <c r="Z37" s="2">
        <v>-2202.7170000000001</v>
      </c>
      <c r="AA37" s="1">
        <f t="shared" ref="AA37:AA48" si="50">I37-Z37</f>
        <v>-2813.6039999999998</v>
      </c>
      <c r="AB37" s="2">
        <v>-3651.9189999999999</v>
      </c>
      <c r="AC37" s="1">
        <f t="shared" ref="AC37:AC48" si="51">J37-AB37</f>
        <v>-4340.6360000000004</v>
      </c>
      <c r="AD37" s="2">
        <v>-4074.0120000000002</v>
      </c>
      <c r="AE37" s="1">
        <f>K37-AD37</f>
        <v>-5602.4979999999996</v>
      </c>
    </row>
    <row r="38" spans="2:31" s="14" customFormat="1" hidden="1" outlineLevel="1">
      <c r="D38" s="14" t="s">
        <v>46</v>
      </c>
      <c r="I38" s="14">
        <v>69.055999999999997</v>
      </c>
      <c r="J38" s="14">
        <v>102.79300000000001</v>
      </c>
      <c r="K38" s="14">
        <f>K279*K39/98%/1000</f>
        <v>165.5612244897959</v>
      </c>
      <c r="L38" s="14">
        <f>L279*L39/98%/1000</f>
        <v>233.90816326530611</v>
      </c>
      <c r="M38" s="14">
        <f>M279*M39/98%/1000</f>
        <v>289.01020408163265</v>
      </c>
      <c r="N38" s="14">
        <f>N279*N39/98%/1000</f>
        <v>330.33673469387759</v>
      </c>
      <c r="O38" s="14">
        <f>O279*O39/98%/1000</f>
        <v>371.66326530612247</v>
      </c>
      <c r="P38" s="14">
        <f>P279*P39/98%/1000</f>
        <v>412.98979591836735</v>
      </c>
      <c r="Q38" s="14">
        <f>Q279*Q39/98%/1000</f>
        <v>454.31632653061223</v>
      </c>
      <c r="R38" s="14">
        <f>R279*R39/98%/1000</f>
        <v>481.86734693877548</v>
      </c>
      <c r="S38" s="14">
        <f>S279*S39/98%/1000</f>
        <v>509.41836734693874</v>
      </c>
      <c r="T38" s="14">
        <f>T279*T39/98%/1000</f>
        <v>536.96938775510205</v>
      </c>
      <c r="U38" s="14">
        <f>U279*U39/98%/1000</f>
        <v>564.5204081632653</v>
      </c>
      <c r="AA38" s="14">
        <v>69.055999999999997</v>
      </c>
      <c r="AB38" s="14">
        <v>88.378</v>
      </c>
      <c r="AC38" s="14">
        <v>102.79300000000001</v>
      </c>
      <c r="AD38" s="14">
        <v>92.179000000000002</v>
      </c>
    </row>
    <row r="39" spans="2:31" s="14" customFormat="1" hidden="1" outlineLevel="1">
      <c r="D39" s="14" t="s">
        <v>47</v>
      </c>
      <c r="I39" s="14">
        <f>I38*1000*98%/I279</f>
        <v>145.2250643776824</v>
      </c>
      <c r="J39" s="14">
        <f>J38*1000*98%/J279</f>
        <v>131.16815104166668</v>
      </c>
      <c r="K39" s="3">
        <v>125</v>
      </c>
      <c r="L39" s="3">
        <v>135</v>
      </c>
      <c r="M39" s="3">
        <v>135</v>
      </c>
      <c r="N39" s="3">
        <v>135</v>
      </c>
      <c r="O39" s="3">
        <v>135</v>
      </c>
      <c r="P39" s="3">
        <v>135</v>
      </c>
      <c r="Q39" s="3">
        <v>135</v>
      </c>
      <c r="R39" s="3">
        <v>135</v>
      </c>
      <c r="S39" s="3">
        <v>135</v>
      </c>
      <c r="T39" s="3">
        <v>135</v>
      </c>
      <c r="U39" s="3">
        <v>135</v>
      </c>
      <c r="AA39" s="14">
        <f>AA38*1000*98%/AA279</f>
        <v>145.2250643776824</v>
      </c>
      <c r="AB39" s="14">
        <f>AB38*1000*98%/AB279</f>
        <v>146.05470489038785</v>
      </c>
      <c r="AC39" s="14">
        <f>AC38*1000*98%/AC279</f>
        <v>131.16815104166668</v>
      </c>
      <c r="AD39" s="14">
        <f>AD38*1000*98%/AD279</f>
        <v>96.61542245989304</v>
      </c>
    </row>
    <row r="40" spans="2:31" s="14" customFormat="1" hidden="1" outlineLevel="1">
      <c r="D40" s="14" t="s">
        <v>48</v>
      </c>
      <c r="I40" s="14">
        <f>-I37/I38</f>
        <v>72.641349050046344</v>
      </c>
      <c r="J40" s="14">
        <f>-J37/J38</f>
        <v>77.753884019339836</v>
      </c>
      <c r="K40" s="14">
        <f>J40*(1+K41)</f>
        <v>85.529272421273831</v>
      </c>
      <c r="L40" s="14">
        <f t="shared" ref="L40:U40" si="52">K40*(1+L41)</f>
        <v>88.095150593912052</v>
      </c>
      <c r="M40" s="14">
        <f t="shared" si="52"/>
        <v>90.738005111729422</v>
      </c>
      <c r="N40" s="14">
        <f t="shared" si="52"/>
        <v>93.460145265081309</v>
      </c>
      <c r="O40" s="14">
        <f t="shared" si="52"/>
        <v>96.263949623033753</v>
      </c>
      <c r="P40" s="14">
        <f t="shared" si="52"/>
        <v>99.151868111724767</v>
      </c>
      <c r="Q40" s="14">
        <f t="shared" si="52"/>
        <v>102.12642415507651</v>
      </c>
      <c r="R40" s="14">
        <f t="shared" si="52"/>
        <v>105.19021687972881</v>
      </c>
      <c r="S40" s="14">
        <f t="shared" si="52"/>
        <v>108.34592338612067</v>
      </c>
      <c r="T40" s="14">
        <f t="shared" si="52"/>
        <v>111.59630108770429</v>
      </c>
      <c r="U40" s="14">
        <f t="shared" si="52"/>
        <v>114.94419012033542</v>
      </c>
      <c r="AA40" s="14">
        <f>(-AA37-Z37)/AA38</f>
        <v>72.641349050046344</v>
      </c>
      <c r="AB40" s="14">
        <f t="shared" ref="AB40:AD40" si="53">(-AB37-AA37)/AB38</f>
        <v>73.15760709678878</v>
      </c>
      <c r="AC40" s="14">
        <f t="shared" si="53"/>
        <v>77.753884019339836</v>
      </c>
      <c r="AD40" s="14">
        <f t="shared" si="53"/>
        <v>91.285954501567616</v>
      </c>
    </row>
    <row r="41" spans="2:31" s="8" customFormat="1" hidden="1" outlineLevel="1">
      <c r="E41" s="8" t="s">
        <v>30</v>
      </c>
      <c r="J41" s="8">
        <f>J40/I40-1</f>
        <v>7.038050691722697E-2</v>
      </c>
      <c r="K41" s="9">
        <v>0.1</v>
      </c>
      <c r="L41" s="9">
        <v>0.03</v>
      </c>
      <c r="M41" s="9">
        <v>0.03</v>
      </c>
      <c r="N41" s="9">
        <v>0.03</v>
      </c>
      <c r="O41" s="9">
        <v>0.03</v>
      </c>
      <c r="P41" s="9">
        <v>0.03</v>
      </c>
      <c r="Q41" s="9">
        <v>0.03</v>
      </c>
      <c r="R41" s="9">
        <v>0.03</v>
      </c>
      <c r="S41" s="9">
        <v>0.03</v>
      </c>
      <c r="T41" s="9">
        <v>0.03</v>
      </c>
      <c r="U41" s="9">
        <v>0.03</v>
      </c>
    </row>
    <row r="42" spans="2:31" collapsed="1">
      <c r="C42" s="1" t="s">
        <v>49</v>
      </c>
      <c r="F42" s="2">
        <v>-269.48200000000003</v>
      </c>
      <c r="G42" s="2">
        <v>-298.36700000000002</v>
      </c>
      <c r="H42" s="2">
        <v>-414.86200000000002</v>
      </c>
      <c r="I42" s="2">
        <v>-684.91</v>
      </c>
      <c r="J42" s="2">
        <v>-240.23</v>
      </c>
      <c r="K42" s="2">
        <v>-235.96100000000001</v>
      </c>
      <c r="L42" s="1">
        <f>L43*L312</f>
        <v>-424.5</v>
      </c>
      <c r="M42" s="1">
        <f>M43*M312</f>
        <v>-524.5</v>
      </c>
      <c r="N42" s="1">
        <f>N43*N312</f>
        <v>-599.5</v>
      </c>
      <c r="O42" s="1">
        <f>O43*O312</f>
        <v>-674.5</v>
      </c>
      <c r="P42" s="1">
        <f>P43*P312</f>
        <v>-749.5</v>
      </c>
      <c r="Q42" s="1">
        <f>Q43*Q312</f>
        <v>-824.5</v>
      </c>
      <c r="R42" s="1">
        <f>R43*R312</f>
        <v>-874.5</v>
      </c>
      <c r="S42" s="1">
        <f>S43*S312</f>
        <v>-924.5</v>
      </c>
      <c r="T42" s="1">
        <f>T43*T312</f>
        <v>-974.5</v>
      </c>
      <c r="U42" s="1">
        <f>U43*U312</f>
        <v>-1024.5</v>
      </c>
      <c r="X42" s="2">
        <v>-179.34700000000001</v>
      </c>
      <c r="Y42" s="1">
        <f t="shared" si="49"/>
        <v>-235.51500000000001</v>
      </c>
      <c r="Z42" s="2">
        <v>-272.30099999999999</v>
      </c>
      <c r="AA42" s="1">
        <f t="shared" si="50"/>
        <v>-412.60899999999998</v>
      </c>
      <c r="AB42" s="2">
        <v>-96.11</v>
      </c>
      <c r="AC42" s="1">
        <f t="shared" si="51"/>
        <v>-144.12</v>
      </c>
      <c r="AD42" s="2">
        <v>-88.149000000000001</v>
      </c>
      <c r="AE42" s="1">
        <f>K42-AD42</f>
        <v>-147.81200000000001</v>
      </c>
    </row>
    <row r="43" spans="2:31" s="10" customFormat="1" hidden="1" outlineLevel="1">
      <c r="D43" s="10" t="s">
        <v>50</v>
      </c>
      <c r="F43" s="15"/>
      <c r="G43" s="15"/>
      <c r="H43" s="15"/>
      <c r="I43" s="15"/>
      <c r="J43" s="15">
        <f>J42/J312</f>
        <v>-0.31279947916666667</v>
      </c>
      <c r="K43" s="16">
        <v>-0.2</v>
      </c>
      <c r="L43" s="16">
        <v>-0.25</v>
      </c>
      <c r="M43" s="16">
        <v>-0.25</v>
      </c>
      <c r="N43" s="16">
        <v>-0.25</v>
      </c>
      <c r="O43" s="16">
        <v>-0.25</v>
      </c>
      <c r="P43" s="16">
        <v>-0.25</v>
      </c>
      <c r="Q43" s="16">
        <v>-0.25</v>
      </c>
      <c r="R43" s="16">
        <v>-0.25</v>
      </c>
      <c r="S43" s="16">
        <v>-0.25</v>
      </c>
      <c r="T43" s="16">
        <v>-0.25</v>
      </c>
      <c r="U43" s="16">
        <v>-0.25</v>
      </c>
      <c r="AB43" s="15">
        <f>AB42/AB312</f>
        <v>-0.16207419898819561</v>
      </c>
      <c r="AC43" s="15">
        <f>AC42/AC312</f>
        <v>-0.18765625</v>
      </c>
      <c r="AD43" s="15">
        <f>AD42/AD312</f>
        <v>-9.427700534759359E-2</v>
      </c>
      <c r="AE43" s="15"/>
    </row>
    <row r="44" spans="2:31" collapsed="1">
      <c r="C44" s="1" t="s">
        <v>51</v>
      </c>
      <c r="F44" s="2">
        <v>-221.483</v>
      </c>
      <c r="G44" s="2">
        <v>-262.98500000000001</v>
      </c>
      <c r="H44" s="2">
        <v>-348.577</v>
      </c>
      <c r="I44" s="2">
        <v>-594.77200000000005</v>
      </c>
      <c r="J44" s="2">
        <v>-911.63499999999999</v>
      </c>
      <c r="K44" s="2">
        <v>-978.21199999999999</v>
      </c>
      <c r="L44" s="1">
        <f t="shared" ref="L44:U44" si="54">L53*L$5</f>
        <v>-2190.4658469333631</v>
      </c>
      <c r="M44" s="1">
        <f t="shared" si="54"/>
        <v>-2895.8074379771938</v>
      </c>
      <c r="N44" s="1">
        <f t="shared" si="54"/>
        <v>-3407.1006669737599</v>
      </c>
      <c r="O44" s="1">
        <f t="shared" si="54"/>
        <v>-3862.4758922451001</v>
      </c>
      <c r="P44" s="1">
        <f t="shared" si="54"/>
        <v>-4327.1565866797664</v>
      </c>
      <c r="Q44" s="1">
        <f t="shared" si="54"/>
        <v>-4844.3218504148936</v>
      </c>
      <c r="R44" s="1">
        <f t="shared" si="54"/>
        <v>-5322.7999374837455</v>
      </c>
      <c r="S44" s="1">
        <f t="shared" si="54"/>
        <v>-5762.5408235654731</v>
      </c>
      <c r="T44" s="1">
        <f t="shared" si="54"/>
        <v>-6211.6225074708109</v>
      </c>
      <c r="U44" s="1">
        <f t="shared" si="54"/>
        <v>-6702.8787969482419</v>
      </c>
      <c r="X44" s="2">
        <v>-148.863</v>
      </c>
      <c r="Y44" s="1">
        <f t="shared" si="49"/>
        <v>-199.714</v>
      </c>
      <c r="Z44" s="2">
        <v>-254.63499999999999</v>
      </c>
      <c r="AA44" s="1">
        <f t="shared" si="50"/>
        <v>-340.13700000000006</v>
      </c>
      <c r="AB44" s="2">
        <v>-439.14600000000002</v>
      </c>
      <c r="AC44" s="1">
        <f t="shared" si="51"/>
        <v>-472.48899999999998</v>
      </c>
      <c r="AD44" s="2">
        <v>-359.97899999999998</v>
      </c>
      <c r="AE44" s="1">
        <f>K44-AD44</f>
        <v>-618.23299999999995</v>
      </c>
    </row>
    <row r="45" spans="2:31">
      <c r="C45" s="1" t="s">
        <v>52</v>
      </c>
      <c r="F45" s="2">
        <v>-239.179</v>
      </c>
      <c r="G45" s="2">
        <v>-285.91800000000001</v>
      </c>
      <c r="H45" s="2">
        <v>-359.839</v>
      </c>
      <c r="I45" s="2">
        <v>-689.32100000000003</v>
      </c>
      <c r="J45" s="2">
        <v>-1891.3240000000001</v>
      </c>
      <c r="K45" s="2">
        <v>-3033.6990000000001</v>
      </c>
      <c r="L45" s="1">
        <f t="shared" ref="L45:U45" si="55">-L229-L230-L231</f>
        <v>-5254.7715532978209</v>
      </c>
      <c r="M45" s="1">
        <f t="shared" si="55"/>
        <v>-7122.9694088878241</v>
      </c>
      <c r="N45" s="1">
        <f t="shared" si="55"/>
        <v>-9182.123074203706</v>
      </c>
      <c r="O45" s="1">
        <f t="shared" si="55"/>
        <v>-11109.502439448303</v>
      </c>
      <c r="P45" s="1">
        <f t="shared" si="55"/>
        <v>-13157.614624503482</v>
      </c>
      <c r="Q45" s="1">
        <f t="shared" si="55"/>
        <v>-15351.082731959763</v>
      </c>
      <c r="R45" s="1">
        <f t="shared" si="55"/>
        <v>-17711.463673856015</v>
      </c>
      <c r="S45" s="1">
        <f t="shared" si="55"/>
        <v>-19928.503145638391</v>
      </c>
      <c r="T45" s="1">
        <f t="shared" si="55"/>
        <v>-22224.401646500075</v>
      </c>
      <c r="U45" s="1">
        <f t="shared" si="55"/>
        <v>-24636.863990776077</v>
      </c>
      <c r="X45" s="2">
        <v>-162.99700000000001</v>
      </c>
      <c r="Y45" s="1">
        <f t="shared" si="49"/>
        <v>-196.84199999999998</v>
      </c>
      <c r="Z45" s="2">
        <v>-293.57</v>
      </c>
      <c r="AA45" s="1">
        <f t="shared" si="50"/>
        <v>-395.75100000000003</v>
      </c>
      <c r="AB45" s="2">
        <v>-830.14400000000001</v>
      </c>
      <c r="AC45" s="1">
        <f t="shared" si="51"/>
        <v>-1061.18</v>
      </c>
      <c r="AD45" s="2">
        <v>-1296.99</v>
      </c>
      <c r="AE45" s="1">
        <f>K45-AD45</f>
        <v>-1736.7090000000001</v>
      </c>
    </row>
    <row r="46" spans="2:31">
      <c r="C46" s="1" t="s">
        <v>53</v>
      </c>
      <c r="F46" s="2">
        <v>-67.213999999999999</v>
      </c>
      <c r="G46" s="2">
        <v>-84.483000000000004</v>
      </c>
      <c r="H46" s="2">
        <v>-119.598</v>
      </c>
      <c r="I46" s="2">
        <v>-159.47</v>
      </c>
      <c r="J46" s="2">
        <v>-219.934</v>
      </c>
      <c r="K46" s="2">
        <v>-186.23</v>
      </c>
      <c r="L46" s="1">
        <f t="shared" ref="L46:U46" si="56">K46*(1+L47)</f>
        <v>-270.63799769930978</v>
      </c>
      <c r="M46" s="1">
        <f t="shared" si="56"/>
        <v>-338.29749712413724</v>
      </c>
      <c r="N46" s="1">
        <f t="shared" si="56"/>
        <v>-405.9569965489647</v>
      </c>
      <c r="O46" s="1">
        <f t="shared" si="56"/>
        <v>-466.85054603130936</v>
      </c>
      <c r="P46" s="1">
        <f t="shared" si="56"/>
        <v>-522.87261155506656</v>
      </c>
      <c r="Q46" s="1">
        <f t="shared" si="56"/>
        <v>-575.15987271057327</v>
      </c>
      <c r="R46" s="1">
        <f t="shared" si="56"/>
        <v>-621.17266252741922</v>
      </c>
      <c r="S46" s="1">
        <f t="shared" si="56"/>
        <v>-664.65474890433859</v>
      </c>
      <c r="T46" s="1">
        <f t="shared" si="56"/>
        <v>-704.53403383859893</v>
      </c>
      <c r="U46" s="1">
        <f t="shared" si="56"/>
        <v>-739.7607355305289</v>
      </c>
      <c r="X46" s="2">
        <v>-47.984999999999999</v>
      </c>
      <c r="Y46" s="1">
        <f t="shared" si="49"/>
        <v>-71.613</v>
      </c>
      <c r="Z46" s="2">
        <v>-72.387</v>
      </c>
      <c r="AA46" s="1">
        <f t="shared" si="50"/>
        <v>-87.082999999999998</v>
      </c>
      <c r="AB46" s="2">
        <v>-94.343000000000004</v>
      </c>
      <c r="AC46" s="1">
        <f t="shared" si="51"/>
        <v>-125.59099999999999</v>
      </c>
      <c r="AD46" s="2">
        <v>-79.144000000000005</v>
      </c>
      <c r="AE46" s="1">
        <f>K46-AD46</f>
        <v>-107.08599999999998</v>
      </c>
    </row>
    <row r="47" spans="2:31" s="8" customFormat="1">
      <c r="E47" s="8" t="s">
        <v>30</v>
      </c>
      <c r="H47" s="8">
        <f t="shared" ref="H47:I47" si="57">H46/G46-1</f>
        <v>0.41564575121622083</v>
      </c>
      <c r="I47" s="8">
        <f t="shared" si="57"/>
        <v>0.33338350139634443</v>
      </c>
      <c r="J47" s="8">
        <f>J46/I46-1</f>
        <v>0.37915595409794944</v>
      </c>
      <c r="K47" s="8">
        <f>K46/J46-1</f>
        <v>-0.15324597379213767</v>
      </c>
      <c r="L47" s="9">
        <f>-K47+30%</f>
        <v>0.45324597379213766</v>
      </c>
      <c r="M47" s="9">
        <v>0.25</v>
      </c>
      <c r="N47" s="9">
        <v>0.2</v>
      </c>
      <c r="O47" s="9">
        <v>0.15</v>
      </c>
      <c r="P47" s="9">
        <v>0.12</v>
      </c>
      <c r="Q47" s="9">
        <v>0.1</v>
      </c>
      <c r="R47" s="9">
        <v>0.08</v>
      </c>
      <c r="S47" s="9">
        <v>7.0000000000000007E-2</v>
      </c>
      <c r="T47" s="9">
        <v>0.06</v>
      </c>
      <c r="U47" s="9">
        <v>0.05</v>
      </c>
    </row>
    <row r="48" spans="2:31">
      <c r="C48" s="1" t="s">
        <v>54</v>
      </c>
      <c r="F48" s="2">
        <v>-268.113</v>
      </c>
      <c r="G48" s="2">
        <v>-372.42200000000003</v>
      </c>
      <c r="H48" s="2">
        <v>-444.99799999999999</v>
      </c>
      <c r="I48" s="2">
        <f>-85.54-660.533</f>
        <v>-746.07299999999998</v>
      </c>
      <c r="J48" s="2">
        <v>-1000.131</v>
      </c>
      <c r="K48" s="2">
        <v>-1252.2380000000001</v>
      </c>
      <c r="L48" s="1">
        <f t="shared" ref="L48:U48" si="58">L56*L$5</f>
        <v>-2233.2780548128567</v>
      </c>
      <c r="M48" s="1">
        <f t="shared" si="58"/>
        <v>-2952.4054032854538</v>
      </c>
      <c r="N48" s="1">
        <f t="shared" si="58"/>
        <v>-3473.691754082035</v>
      </c>
      <c r="O48" s="1">
        <f t="shared" si="58"/>
        <v>-3937.9671951840769</v>
      </c>
      <c r="P48" s="1">
        <f t="shared" si="58"/>
        <v>-4411.7299789448907</v>
      </c>
      <c r="Q48" s="1">
        <f t="shared" si="58"/>
        <v>-4939.0031322004497</v>
      </c>
      <c r="R48" s="1">
        <f t="shared" si="58"/>
        <v>-5426.8329758182808</v>
      </c>
      <c r="S48" s="1">
        <f t="shared" si="58"/>
        <v>-5875.1685077623943</v>
      </c>
      <c r="T48" s="1">
        <f t="shared" si="58"/>
        <v>-6333.027401517018</v>
      </c>
      <c r="U48" s="1">
        <f t="shared" si="58"/>
        <v>-6833.8851949013278</v>
      </c>
      <c r="X48" s="2">
        <v>-160.93299999999999</v>
      </c>
      <c r="Y48" s="1">
        <f t="shared" si="49"/>
        <v>-284.065</v>
      </c>
      <c r="Z48" s="2">
        <f>-20.659-301.373</f>
        <v>-322.03199999999998</v>
      </c>
      <c r="AA48" s="1">
        <f t="shared" si="50"/>
        <v>-424.041</v>
      </c>
      <c r="AB48" s="2">
        <v>-461.57</v>
      </c>
      <c r="AC48" s="1">
        <f t="shared" si="51"/>
        <v>-538.56099999999992</v>
      </c>
      <c r="AD48" s="2">
        <v>-510.78</v>
      </c>
      <c r="AE48" s="1">
        <f>K48-AD48</f>
        <v>-741.45800000000008</v>
      </c>
    </row>
    <row r="50" spans="2:31" s="10" customFormat="1" ht="19">
      <c r="C50" s="11" t="s">
        <v>55</v>
      </c>
    </row>
    <row r="51" spans="2:31" s="10" customFormat="1">
      <c r="C51" s="10" t="s">
        <v>56</v>
      </c>
      <c r="F51" s="12">
        <f>F37/F$5</f>
        <v>-0.27305260217604516</v>
      </c>
      <c r="G51" s="12">
        <f>G37/G$5</f>
        <v>-0.26183071399131574</v>
      </c>
      <c r="H51" s="12">
        <f>H37/H$5</f>
        <v>-0.29328279984243932</v>
      </c>
      <c r="I51" s="12">
        <f>I37/I$5</f>
        <v>-0.29561502967157954</v>
      </c>
      <c r="J51" s="12">
        <f>J37/J$5</f>
        <v>-0.3009721946910866</v>
      </c>
      <c r="K51" s="12">
        <f t="shared" ref="K51:U51" si="59">K37/K$5</f>
        <v>-0.33817095709813166</v>
      </c>
      <c r="L51" s="12">
        <f t="shared" si="59"/>
        <v>-0.32294058450349306</v>
      </c>
      <c r="M51" s="12">
        <f t="shared" si="59"/>
        <v>-0.3108811977901661</v>
      </c>
      <c r="N51" s="12">
        <f t="shared" si="59"/>
        <v>-0.31107140439593711</v>
      </c>
      <c r="O51" s="12">
        <f t="shared" si="59"/>
        <v>-0.31798692640635218</v>
      </c>
      <c r="P51" s="12">
        <f t="shared" si="59"/>
        <v>-0.32486232135999366</v>
      </c>
      <c r="Q51" s="12">
        <f t="shared" si="59"/>
        <v>-0.3287950061515667</v>
      </c>
      <c r="R51" s="12">
        <f t="shared" si="59"/>
        <v>-0.32690716362865846</v>
      </c>
      <c r="S51" s="12">
        <f t="shared" si="59"/>
        <v>-0.32880233417128379</v>
      </c>
      <c r="T51" s="12">
        <f t="shared" si="59"/>
        <v>-0.33117382548756297</v>
      </c>
      <c r="U51" s="12">
        <f t="shared" si="59"/>
        <v>-0.33232807905375733</v>
      </c>
      <c r="X51" s="12">
        <f t="shared" ref="X51:AC51" si="60">X37/X$5</f>
        <v>-0.29241042752779872</v>
      </c>
      <c r="Y51" s="12">
        <f t="shared" si="60"/>
        <v>-0.29398828961564194</v>
      </c>
      <c r="Z51" s="12">
        <f t="shared" si="60"/>
        <v>-0.29998962226685649</v>
      </c>
      <c r="AA51" s="12">
        <f t="shared" si="60"/>
        <v>-0.29227827977398957</v>
      </c>
      <c r="AB51" s="12">
        <f t="shared" si="60"/>
        <v>-0.31227326123982074</v>
      </c>
      <c r="AC51" s="12">
        <f t="shared" si="60"/>
        <v>-0.29207910065737774</v>
      </c>
      <c r="AD51" s="12">
        <f>AD37/AD$5</f>
        <v>-0.41739338903684764</v>
      </c>
      <c r="AE51" s="12">
        <f>AE37/AE$5</f>
        <v>-0.29715720828592868</v>
      </c>
    </row>
    <row r="52" spans="2:31" s="10" customFormat="1">
      <c r="C52" s="10" t="s">
        <v>57</v>
      </c>
      <c r="F52" s="12">
        <f>(F42+F249)/F$5</f>
        <v>-4.6812035127179172E-2</v>
      </c>
      <c r="G52" s="12">
        <f>(G42+G249)/G$5</f>
        <v>-3.8214523483654443E-2</v>
      </c>
      <c r="H52" s="12">
        <f>(H42+H249)/H$5</f>
        <v>-3.900116290329101E-2</v>
      </c>
      <c r="I52" s="12">
        <f>(I42+I249)/I$5</f>
        <v>-4.0362187741247328E-2</v>
      </c>
      <c r="J52" s="12">
        <f>(J42+J249)/J$5</f>
        <v>-3.5370212268570261E-2</v>
      </c>
      <c r="K52" s="12">
        <f>(K42+K249)/K$5</f>
        <v>-3.5947147089215967E-2</v>
      </c>
      <c r="L52" s="12">
        <f>(L42+L249)/L$5</f>
        <v>-2.3926485564004962E-2</v>
      </c>
      <c r="M52" s="12">
        <f>(M42+M249)/M$5</f>
        <v>-2.1057969392196528E-2</v>
      </c>
      <c r="N52" s="12">
        <f>(N42+N249)/N$5</f>
        <v>-1.9909932643038222E-2</v>
      </c>
      <c r="O52" s="12">
        <f>(O42+O249)/O$5</f>
        <v>-1.8412094475388236E-2</v>
      </c>
      <c r="P52" s="12">
        <f>(P42+P249)/P$5</f>
        <v>-1.7165927438976214E-2</v>
      </c>
      <c r="Q52" s="12">
        <f>(Q42+Q249)/Q$5</f>
        <v>-1.5966099191485516E-2</v>
      </c>
      <c r="R52" s="12">
        <f>(R42+R249)/R$5</f>
        <v>-1.4930149614734481E-2</v>
      </c>
      <c r="S52" s="12">
        <f>(S42+S249)/S$5</f>
        <v>-1.3651371323219766E-2</v>
      </c>
      <c r="T52" s="12">
        <f>(T42+T249)/T$5</f>
        <v>-1.2602662309525833E-2</v>
      </c>
      <c r="U52" s="12">
        <f>(U42+U249)/U$5</f>
        <v>-1.1673996929511279E-2</v>
      </c>
      <c r="X52" s="12">
        <f>(X42+X249)/X$5</f>
        <v>-3.7709114572656181E-2</v>
      </c>
      <c r="Y52" s="12">
        <f>(Y42+Y249)/Y$5</f>
        <v>-4.004604576860981E-2</v>
      </c>
      <c r="Z52" s="12">
        <f>(Z42+Z249)/Z$5</f>
        <v>-3.708487024564993E-2</v>
      </c>
      <c r="AA52" s="12">
        <f>(AA42+AA249)/AA$5</f>
        <v>-4.2861983683299444E-2</v>
      </c>
      <c r="AB52" s="12">
        <f>(AB42+AB249)/AB$5</f>
        <v>-3.0815179553411971E-2</v>
      </c>
      <c r="AC52" s="12">
        <f>(AC42+AC249)/AC$5</f>
        <v>-3.8954682290743538E-2</v>
      </c>
      <c r="AD52" s="12">
        <f>(AD42+AD249)/AD$5</f>
        <v>-4.1666884378581043E-2</v>
      </c>
      <c r="AE52" s="12">
        <f>(AE42+AE249)/AE$5</f>
        <v>-7.8399673272814552E-3</v>
      </c>
    </row>
    <row r="53" spans="2:31" s="10" customFormat="1">
      <c r="C53" s="10" t="s">
        <v>58</v>
      </c>
      <c r="F53" s="12">
        <f t="shared" ref="F53:I53" si="61">F44/F$5</f>
        <v>-3.8474072391005795E-2</v>
      </c>
      <c r="G53" s="12">
        <f t="shared" si="61"/>
        <v>-3.3682835093521948E-2</v>
      </c>
      <c r="H53" s="12">
        <f t="shared" si="61"/>
        <v>-3.2769712244892203E-2</v>
      </c>
      <c r="I53" s="12">
        <f t="shared" si="61"/>
        <v>-3.5050297305101633E-2</v>
      </c>
      <c r="J53" s="12">
        <f>J44/J$5</f>
        <v>-3.4329045806654905E-2</v>
      </c>
      <c r="K53" s="17">
        <f>J53</f>
        <v>-3.4329045806654905E-2</v>
      </c>
      <c r="L53" s="17">
        <f t="shared" ref="L53:U53" si="62">K53</f>
        <v>-3.4329045806654905E-2</v>
      </c>
      <c r="M53" s="17">
        <f t="shared" si="62"/>
        <v>-3.4329045806654905E-2</v>
      </c>
      <c r="N53" s="17">
        <f t="shared" si="62"/>
        <v>-3.4329045806654905E-2</v>
      </c>
      <c r="O53" s="17">
        <f t="shared" si="62"/>
        <v>-3.4329045806654905E-2</v>
      </c>
      <c r="P53" s="17">
        <f t="shared" si="62"/>
        <v>-3.4329045806654905E-2</v>
      </c>
      <c r="Q53" s="17">
        <f t="shared" si="62"/>
        <v>-3.4329045806654905E-2</v>
      </c>
      <c r="R53" s="17">
        <f t="shared" si="62"/>
        <v>-3.4329045806654905E-2</v>
      </c>
      <c r="S53" s="17">
        <f t="shared" si="62"/>
        <v>-3.4329045806654905E-2</v>
      </c>
      <c r="T53" s="17">
        <f t="shared" si="62"/>
        <v>-3.4329045806654905E-2</v>
      </c>
      <c r="U53" s="17">
        <f t="shared" si="62"/>
        <v>-3.4329045806654905E-2</v>
      </c>
      <c r="X53" s="12">
        <f t="shared" ref="X53:AC53" si="63">X44/X$5</f>
        <v>-3.1299614281974704E-2</v>
      </c>
      <c r="Y53" s="12">
        <f t="shared" si="63"/>
        <v>-3.3958584313662138E-2</v>
      </c>
      <c r="Z53" s="12">
        <f t="shared" si="63"/>
        <v>-3.4678924921322615E-2</v>
      </c>
      <c r="AA53" s="12">
        <f t="shared" si="63"/>
        <v>-3.5333564086305502E-2</v>
      </c>
      <c r="AB53" s="12">
        <f t="shared" si="63"/>
        <v>-3.7551093981115773E-2</v>
      </c>
      <c r="AC53" s="12">
        <f t="shared" si="63"/>
        <v>-3.1793534908364521E-2</v>
      </c>
      <c r="AD53" s="12">
        <f>AD44/AD$5</f>
        <v>-3.6880808105645091E-2</v>
      </c>
      <c r="AE53" s="12">
        <f>AE44/AE$5</f>
        <v>-3.2791157149941783E-2</v>
      </c>
    </row>
    <row r="54" spans="2:31" s="10" customFormat="1">
      <c r="C54" s="10" t="s">
        <v>59</v>
      </c>
      <c r="F54" s="12">
        <f>(F45+F231)/F$5</f>
        <v>-4.1548065361261925E-2</v>
      </c>
      <c r="G54" s="12">
        <f>(G45+G231)/G$5</f>
        <v>-3.662006899355328E-2</v>
      </c>
      <c r="H54" s="12">
        <f>(H45+H231)/H$5</f>
        <v>-3.3828452492533259E-2</v>
      </c>
      <c r="I54" s="12">
        <f>(I45+I231)/I$5</f>
        <v>-4.062213081424472E-2</v>
      </c>
      <c r="J54" s="12">
        <f>(J45+J231)/J$5</f>
        <v>-4.7194073518876785E-2</v>
      </c>
      <c r="K54" s="12">
        <f>(K45+K231)/K$5</f>
        <v>-7.8319675513713952E-2</v>
      </c>
      <c r="L54" s="12">
        <f>(L45+L231)/L$5</f>
        <v>-6.5079226885034702E-2</v>
      </c>
      <c r="M54" s="12">
        <f>(M45+M231)/M$5</f>
        <v>-6.9600796173405907E-2</v>
      </c>
      <c r="N54" s="12">
        <f>(N45+N231)/N$5</f>
        <v>-7.8647116120662927E-2</v>
      </c>
      <c r="O54" s="12">
        <f>(O45+O231)/O$5</f>
        <v>-8.632216686764245E-2</v>
      </c>
      <c r="P54" s="12">
        <f>(P45+P231)/P$5</f>
        <v>-9.3164717043040066E-2</v>
      </c>
      <c r="Q54" s="12">
        <f>(Q45+Q231)/Q$5</f>
        <v>-9.866136316575333E-2</v>
      </c>
      <c r="R54" s="12">
        <f>(R45+R231)/R$5</f>
        <v>-0.10493879263640861</v>
      </c>
      <c r="S54" s="12">
        <f>(S45+S231)/S$5</f>
        <v>-0.11057572261171061</v>
      </c>
      <c r="T54" s="12">
        <f>(T45+T231)/T$5</f>
        <v>-0.11560798737643713</v>
      </c>
      <c r="U54" s="12">
        <f>(U45+U231)/U$5</f>
        <v>-0.11975164369249668</v>
      </c>
      <c r="X54" s="12">
        <f>(X45+X231)/X$5</f>
        <v>-3.4271398729832335E-2</v>
      </c>
      <c r="Y54" s="12">
        <f>(Y45+Y231)/Y$5</f>
        <v>-3.3470240711566956E-2</v>
      </c>
      <c r="Z54" s="12">
        <f>(Z45+Z231)/Z$5</f>
        <v>-3.9981510747354766E-2</v>
      </c>
      <c r="AA54" s="12">
        <f>(AA45+AA231)/AA$5</f>
        <v>-4.1110768074980042E-2</v>
      </c>
      <c r="AB54" s="12">
        <f>(AB45+AB231)/AB$5</f>
        <v>-4.6377455764724754E-2</v>
      </c>
      <c r="AC54" s="12">
        <f>(AC45+AC231)/AC$5</f>
        <v>-4.7836690606914693E-2</v>
      </c>
      <c r="AD54" s="12">
        <f>(AD45+AD231)/AD$5</f>
        <v>-9.3207849308521343E-2</v>
      </c>
      <c r="AE54" s="12">
        <f>(AE45+AE231)/AE$5</f>
        <v>-9.211526680510139E-2</v>
      </c>
    </row>
    <row r="55" spans="2:31" s="10" customFormat="1">
      <c r="C55" s="10" t="s">
        <v>60</v>
      </c>
      <c r="F55" s="12">
        <f>F46/F$5</f>
        <v>-1.1675822982752913E-2</v>
      </c>
      <c r="G55" s="12">
        <f>G46/G$5</f>
        <v>-1.0820491500298552E-2</v>
      </c>
      <c r="H55" s="12">
        <f>H46/H$5</f>
        <v>-1.1243404025694804E-2</v>
      </c>
      <c r="I55" s="12">
        <f>I46/I$5</f>
        <v>-9.3976698823155028E-3</v>
      </c>
      <c r="J55" s="12">
        <f>J46/J$5</f>
        <v>-8.2819597321744341E-3</v>
      </c>
      <c r="K55" s="12">
        <f t="shared" ref="K55:U55" si="64">K46/K$5</f>
        <v>-6.5082945545847683E-3</v>
      </c>
      <c r="L55" s="12">
        <f t="shared" si="64"/>
        <v>-4.2414467374818684E-3</v>
      </c>
      <c r="M55" s="12">
        <f t="shared" si="64"/>
        <v>-4.0104290508914276E-3</v>
      </c>
      <c r="N55" s="12">
        <f t="shared" si="64"/>
        <v>-4.0903154007597116E-3</v>
      </c>
      <c r="O55" s="12">
        <f t="shared" si="64"/>
        <v>-4.149290306704051E-3</v>
      </c>
      <c r="P55" s="12">
        <f t="shared" si="64"/>
        <v>-4.1481553702894776E-3</v>
      </c>
      <c r="Q55" s="12">
        <f t="shared" si="64"/>
        <v>-4.0758418259802523E-3</v>
      </c>
      <c r="R55" s="12">
        <f t="shared" si="64"/>
        <v>-4.006211962914054E-3</v>
      </c>
      <c r="S55" s="12">
        <f t="shared" si="64"/>
        <v>-3.9595317446497755E-3</v>
      </c>
      <c r="T55" s="12">
        <f t="shared" si="64"/>
        <v>-3.8936656390345325E-3</v>
      </c>
      <c r="U55" s="12">
        <f t="shared" si="64"/>
        <v>-3.788712424213084E-3</v>
      </c>
      <c r="X55" s="12">
        <f t="shared" ref="X55:AE55" si="65">X46/X$5</f>
        <v>-1.0089222918526135E-2</v>
      </c>
      <c r="Y55" s="12">
        <f t="shared" si="65"/>
        <v>-1.2176793306700016E-2</v>
      </c>
      <c r="Z55" s="12">
        <f t="shared" si="65"/>
        <v>-9.8584379141900373E-3</v>
      </c>
      <c r="AA55" s="12">
        <f t="shared" si="65"/>
        <v>-9.0462159698231643E-3</v>
      </c>
      <c r="AB55" s="12">
        <f t="shared" si="65"/>
        <v>-8.0672096739134707E-3</v>
      </c>
      <c r="AC55" s="12">
        <f t="shared" si="65"/>
        <v>-8.4509519643344265E-3</v>
      </c>
      <c r="AD55" s="12">
        <f t="shared" si="65"/>
        <v>-8.1085137652840179E-3</v>
      </c>
      <c r="AE55" s="12">
        <f t="shared" si="65"/>
        <v>-5.6798550943716452E-3</v>
      </c>
    </row>
    <row r="56" spans="2:31" s="10" customFormat="1">
      <c r="C56" s="10" t="s">
        <v>61</v>
      </c>
      <c r="F56" s="12">
        <f t="shared" ref="F56:J56" si="66">F48/F$5</f>
        <v>-4.6574224527253724E-2</v>
      </c>
      <c r="G56" s="12">
        <f t="shared" si="66"/>
        <v>-4.7699407993610402E-2</v>
      </c>
      <c r="H56" s="12">
        <f t="shared" si="66"/>
        <v>-4.1834247266895233E-2</v>
      </c>
      <c r="I56" s="12">
        <f t="shared" si="66"/>
        <v>-4.3966562752296823E-2</v>
      </c>
      <c r="J56" s="12">
        <f t="shared" si="66"/>
        <v>-3.7661501490898856E-2</v>
      </c>
      <c r="K56" s="17">
        <v>-3.5000000000000003E-2</v>
      </c>
      <c r="L56" s="17">
        <f t="shared" ref="L56:U56" si="67">K56</f>
        <v>-3.5000000000000003E-2</v>
      </c>
      <c r="M56" s="17">
        <f t="shared" si="67"/>
        <v>-3.5000000000000003E-2</v>
      </c>
      <c r="N56" s="17">
        <f t="shared" si="67"/>
        <v>-3.5000000000000003E-2</v>
      </c>
      <c r="O56" s="17">
        <f t="shared" si="67"/>
        <v>-3.5000000000000003E-2</v>
      </c>
      <c r="P56" s="17">
        <f t="shared" si="67"/>
        <v>-3.5000000000000003E-2</v>
      </c>
      <c r="Q56" s="17">
        <f t="shared" si="67"/>
        <v>-3.5000000000000003E-2</v>
      </c>
      <c r="R56" s="17">
        <f t="shared" si="67"/>
        <v>-3.5000000000000003E-2</v>
      </c>
      <c r="S56" s="17">
        <f t="shared" si="67"/>
        <v>-3.5000000000000003E-2</v>
      </c>
      <c r="T56" s="17">
        <f t="shared" si="67"/>
        <v>-3.5000000000000003E-2</v>
      </c>
      <c r="U56" s="17">
        <f t="shared" si="67"/>
        <v>-3.5000000000000003E-2</v>
      </c>
      <c r="X56" s="12">
        <f t="shared" ref="X56:AE56" si="68">X48/X$5</f>
        <v>-3.3837426528022643E-2</v>
      </c>
      <c r="Y56" s="12">
        <f t="shared" si="68"/>
        <v>-4.8301297120184043E-2</v>
      </c>
      <c r="Z56" s="12">
        <f t="shared" si="68"/>
        <v>-4.3857771124406954E-2</v>
      </c>
      <c r="AA56" s="12">
        <f t="shared" si="68"/>
        <v>-4.4049544297506793E-2</v>
      </c>
      <c r="AB56" s="12">
        <f t="shared" si="68"/>
        <v>-3.9468555899094163E-2</v>
      </c>
      <c r="AC56" s="12">
        <f t="shared" si="68"/>
        <v>-3.6239484842575602E-2</v>
      </c>
      <c r="AD56" s="12">
        <f t="shared" si="68"/>
        <v>-5.2330772528956966E-2</v>
      </c>
      <c r="AE56" s="12">
        <f t="shared" si="68"/>
        <v>-3.9327026862172577E-2</v>
      </c>
    </row>
    <row r="59" spans="2:31" s="6" customFormat="1">
      <c r="B59" s="6" t="s">
        <v>62</v>
      </c>
      <c r="F59" s="6">
        <f>F62+F229+F230+F231+F249</f>
        <v>758.77300000000002</v>
      </c>
      <c r="G59" s="6">
        <f>G62+G229+G230+G231+G249</f>
        <v>1565.8559999999991</v>
      </c>
      <c r="H59" s="6">
        <f>H62+H229+H230+H231+H249</f>
        <v>1876.206000000001</v>
      </c>
      <c r="I59" s="6">
        <f>I62+I229+I230+I231+I249</f>
        <v>2832.5209999999993</v>
      </c>
      <c r="J59" s="6">
        <f>J62+J229+J230+J231+J249</f>
        <v>4253.2610000000013</v>
      </c>
      <c r="K59" s="6">
        <f>K62+K229+K230+K231+K249</f>
        <v>3404.1153672081941</v>
      </c>
      <c r="L59" s="6">
        <f>L62+L229+L230+L231+L249</f>
        <v>9543.2716926787944</v>
      </c>
      <c r="M59" s="6">
        <f>M62+M229+M230+M231+M249</f>
        <v>14738.522323164132</v>
      </c>
      <c r="N59" s="6">
        <f>N62+N229+N230+N231+N249</f>
        <v>17924.180151271088</v>
      </c>
      <c r="O59" s="6">
        <f>O62+O229+O230+O231+O249</f>
        <v>20266.201693232888</v>
      </c>
      <c r="P59" s="6">
        <f>P62+P229+P230+P231+P249</f>
        <v>22625.185354242338</v>
      </c>
      <c r="Q59" s="6">
        <f>Q62+Q229+Q230+Q231+Q249</f>
        <v>25659.392292389679</v>
      </c>
      <c r="R59" s="6">
        <f>R62+R229+R230+R231+R249</f>
        <v>28657.931041787713</v>
      </c>
      <c r="S59" s="6">
        <f>S62+S229+S230+S231+S249</f>
        <v>30929.861027470393</v>
      </c>
      <c r="T59" s="6">
        <f>T62+T229+T230+T231+T249</f>
        <v>33112.831019858335</v>
      </c>
      <c r="U59" s="6">
        <f>U62+U229+U230+U231+U249</f>
        <v>35708.058783003202</v>
      </c>
    </row>
    <row r="60" spans="2:31" s="8" customFormat="1">
      <c r="B60" s="8" t="s">
        <v>63</v>
      </c>
      <c r="F60" s="8">
        <f t="shared" ref="F60:H60" si="69">F59/F$5</f>
        <v>0.13180735013676281</v>
      </c>
      <c r="G60" s="8">
        <f t="shared" si="69"/>
        <v>0.20055314724490703</v>
      </c>
      <c r="H60" s="8">
        <f t="shared" si="69"/>
        <v>0.17638206402642817</v>
      </c>
      <c r="I60" s="8">
        <f>I59/I$5</f>
        <v>0.16692228815906557</v>
      </c>
      <c r="J60" s="8">
        <f>J59/J$5</f>
        <v>0.1601632141116334</v>
      </c>
      <c r="K60" s="8">
        <f t="shared" ref="K60:U60" si="70">K59/K$5</f>
        <v>0.11896571716468571</v>
      </c>
      <c r="L60" s="8">
        <f t="shared" si="70"/>
        <v>0.14956243738836519</v>
      </c>
      <c r="M60" s="8">
        <f t="shared" si="70"/>
        <v>0.17472135796009103</v>
      </c>
      <c r="N60" s="8">
        <f t="shared" si="70"/>
        <v>0.18059930175360994</v>
      </c>
      <c r="O60" s="8">
        <f t="shared" si="70"/>
        <v>0.18012264300490058</v>
      </c>
      <c r="P60" s="8">
        <f t="shared" si="70"/>
        <v>0.17949455002408563</v>
      </c>
      <c r="Q60" s="8">
        <f t="shared" si="70"/>
        <v>0.18183400702431268</v>
      </c>
      <c r="R60" s="8">
        <f t="shared" si="70"/>
        <v>0.18482742898703811</v>
      </c>
      <c r="S60" s="8">
        <f t="shared" si="70"/>
        <v>0.18425771695419166</v>
      </c>
      <c r="T60" s="8">
        <f t="shared" si="70"/>
        <v>0.18300080075722178</v>
      </c>
      <c r="U60" s="8">
        <f t="shared" si="70"/>
        <v>0.18288016578586339</v>
      </c>
    </row>
    <row r="62" spans="2:31" s="6" customFormat="1">
      <c r="B62" s="6" t="s">
        <v>64</v>
      </c>
      <c r="F62" s="6">
        <f>F32+F35</f>
        <v>519.59400000000005</v>
      </c>
      <c r="G62" s="6">
        <f t="shared" ref="G62:U62" si="71">G32+G35</f>
        <v>1279.9379999999992</v>
      </c>
      <c r="H62" s="6">
        <f t="shared" si="71"/>
        <v>1516.3670000000011</v>
      </c>
      <c r="I62" s="6">
        <f t="shared" si="71"/>
        <v>2143.1999999999989</v>
      </c>
      <c r="J62" s="6">
        <f t="shared" si="71"/>
        <v>3060.9910000000018</v>
      </c>
      <c r="K62" s="6">
        <f t="shared" si="71"/>
        <v>989.94000000000233</v>
      </c>
      <c r="L62" s="6">
        <f t="shared" si="71"/>
        <v>5390.7000004920847</v>
      </c>
      <c r="M62" s="6">
        <f t="shared" si="71"/>
        <v>8867.3861318689014</v>
      </c>
      <c r="N62" s="6">
        <f t="shared" si="71"/>
        <v>10118.584758394543</v>
      </c>
      <c r="O62" s="6">
        <f t="shared" si="71"/>
        <v>10553.805654890552</v>
      </c>
      <c r="P62" s="6">
        <f t="shared" si="71"/>
        <v>10881.826063993831</v>
      </c>
      <c r="Q62" s="6">
        <f t="shared" si="71"/>
        <v>11736.855672309059</v>
      </c>
      <c r="R62" s="6">
        <f t="shared" si="71"/>
        <v>12386.922461164315</v>
      </c>
      <c r="S62" s="6">
        <f t="shared" si="71"/>
        <v>12368.403792859186</v>
      </c>
      <c r="T62" s="6">
        <f t="shared" si="71"/>
        <v>12194.300965880917</v>
      </c>
      <c r="U62" s="6">
        <f t="shared" si="71"/>
        <v>12326.087785996002</v>
      </c>
      <c r="X62" s="6">
        <f t="shared" ref="X62:AE62" si="72">X32+X35</f>
        <v>716.03499999999985</v>
      </c>
      <c r="Y62" s="6">
        <f t="shared" si="72"/>
        <v>800.33200000000033</v>
      </c>
      <c r="Z62" s="6">
        <f t="shared" si="72"/>
        <v>858.67499999999927</v>
      </c>
      <c r="AA62" s="6">
        <f t="shared" si="72"/>
        <v>1284.5249999999978</v>
      </c>
      <c r="AB62" s="6">
        <f t="shared" si="72"/>
        <v>1218.8110000000006</v>
      </c>
      <c r="AC62" s="6">
        <f t="shared" si="72"/>
        <v>1842.1800000000012</v>
      </c>
      <c r="AD62" s="6">
        <f t="shared" si="72"/>
        <v>-996.63300000000072</v>
      </c>
      <c r="AE62" s="6">
        <f t="shared" si="72"/>
        <v>1986.5730000000021</v>
      </c>
    </row>
    <row r="63" spans="2:31" s="8" customFormat="1">
      <c r="B63" s="8" t="s">
        <v>65</v>
      </c>
      <c r="F63" s="8">
        <f t="shared" ref="F63:I63" si="73">F62/F$5</f>
        <v>9.0259284775500895E-2</v>
      </c>
      <c r="G63" s="8">
        <f t="shared" si="73"/>
        <v>0.16393307825135375</v>
      </c>
      <c r="H63" s="8">
        <f t="shared" si="73"/>
        <v>0.14255361153389493</v>
      </c>
      <c r="I63" s="8">
        <f t="shared" si="73"/>
        <v>0.12630015734482083</v>
      </c>
      <c r="J63" s="8">
        <f>J62/J$5</f>
        <v>0.11526641720947362</v>
      </c>
      <c r="K63" s="8">
        <f t="shared" ref="K63:U63" si="74">K62/K$5</f>
        <v>3.4596043126057352E-2</v>
      </c>
      <c r="L63" s="8">
        <f t="shared" si="74"/>
        <v>8.4483210503330478E-2</v>
      </c>
      <c r="M63" s="8">
        <f t="shared" si="74"/>
        <v>0.10512056178668513</v>
      </c>
      <c r="N63" s="8">
        <f t="shared" si="74"/>
        <v>0.10195218563294703</v>
      </c>
      <c r="O63" s="8">
        <f t="shared" si="74"/>
        <v>9.3800476137258129E-2</v>
      </c>
      <c r="P63" s="8">
        <f t="shared" si="74"/>
        <v>8.6329832981045573E-2</v>
      </c>
      <c r="Q63" s="8">
        <f t="shared" si="74"/>
        <v>8.3172643858559339E-2</v>
      </c>
      <c r="R63" s="8">
        <f t="shared" si="74"/>
        <v>7.9888636350629483E-2</v>
      </c>
      <c r="S63" s="8">
        <f t="shared" si="74"/>
        <v>7.3681994342481044E-2</v>
      </c>
      <c r="T63" s="8">
        <f t="shared" si="74"/>
        <v>6.7392813380784677E-2</v>
      </c>
      <c r="U63" s="8">
        <f t="shared" si="74"/>
        <v>6.3128522093366696E-2</v>
      </c>
      <c r="X63" s="8">
        <f>X62/X$5</f>
        <v>0.15055197941996165</v>
      </c>
      <c r="Y63" s="8">
        <f t="shared" ref="Y63:AE63" si="75">Y62/Y$5</f>
        <v>0.13608531049862232</v>
      </c>
      <c r="Z63" s="8">
        <f t="shared" si="75"/>
        <v>0.11694356964602931</v>
      </c>
      <c r="AA63" s="8">
        <f t="shared" si="75"/>
        <v>0.13343695748466497</v>
      </c>
      <c r="AB63" s="8">
        <f t="shared" si="75"/>
        <v>0.10421975016558893</v>
      </c>
      <c r="AC63" s="8">
        <f t="shared" si="75"/>
        <v>0.12395931786240737</v>
      </c>
      <c r="AD63" s="8">
        <f t="shared" si="75"/>
        <v>-0.10210770746280592</v>
      </c>
      <c r="AE63" s="8">
        <f t="shared" si="75"/>
        <v>0.10536808522487699</v>
      </c>
    </row>
    <row r="65" spans="2:31">
      <c r="B65" s="1" t="s">
        <v>66</v>
      </c>
      <c r="F65" s="2">
        <v>35.662999999999997</v>
      </c>
      <c r="G65" s="2">
        <v>62.094000000000001</v>
      </c>
      <c r="H65" s="2">
        <v>90.753</v>
      </c>
      <c r="I65" s="2">
        <v>104.318</v>
      </c>
      <c r="J65" s="2">
        <v>262.70100000000002</v>
      </c>
      <c r="K65" s="2">
        <v>360.86700000000002</v>
      </c>
      <c r="L65" s="1">
        <f t="shared" ref="L65:U65" si="76">L69*L5</f>
        <v>127.61588884644893</v>
      </c>
      <c r="M65" s="1">
        <f t="shared" si="76"/>
        <v>168.70888018774019</v>
      </c>
      <c r="N65" s="1">
        <f t="shared" si="76"/>
        <v>198.49667166183056</v>
      </c>
      <c r="O65" s="1">
        <f t="shared" si="76"/>
        <v>225.02669686766151</v>
      </c>
      <c r="P65" s="1">
        <f t="shared" si="76"/>
        <v>252.09885593970802</v>
      </c>
      <c r="Q65" s="1">
        <f t="shared" si="76"/>
        <v>282.22875041145426</v>
      </c>
      <c r="R65" s="1">
        <f t="shared" si="76"/>
        <v>310.10474147533034</v>
      </c>
      <c r="S65" s="1">
        <f t="shared" si="76"/>
        <v>335.72391472927967</v>
      </c>
      <c r="T65" s="1">
        <f t="shared" si="76"/>
        <v>361.8872800866867</v>
      </c>
      <c r="U65" s="1">
        <f t="shared" si="76"/>
        <v>390.50772542293299</v>
      </c>
      <c r="X65" s="2">
        <v>40.036999999999999</v>
      </c>
      <c r="Y65" s="1">
        <f>H65-X65</f>
        <v>50.716000000000001</v>
      </c>
      <c r="Z65" s="2">
        <v>26.986000000000001</v>
      </c>
      <c r="AA65" s="1">
        <f>I65-Z65</f>
        <v>77.331999999999994</v>
      </c>
      <c r="AB65" s="2">
        <v>118.828</v>
      </c>
      <c r="AC65" s="1">
        <f>J65-AB65</f>
        <v>143.87300000000002</v>
      </c>
      <c r="AD65" s="2">
        <v>180.465</v>
      </c>
      <c r="AE65" s="1">
        <f>K65-AD65</f>
        <v>180.40200000000002</v>
      </c>
    </row>
    <row r="66" spans="2:31" s="19" customFormat="1" outlineLevel="1">
      <c r="B66" s="18"/>
      <c r="C66" s="19" t="s">
        <v>67</v>
      </c>
      <c r="F66" s="19">
        <v>2.6549999999999998</v>
      </c>
      <c r="G66" s="19">
        <v>3.71</v>
      </c>
      <c r="H66" s="19">
        <v>4.6630000000000003</v>
      </c>
      <c r="I66" s="19">
        <v>38.252000000000002</v>
      </c>
      <c r="J66" s="19">
        <v>143.476</v>
      </c>
      <c r="K66" s="19">
        <f>K67*AVERAGE(J113+J115+J116+J165+J166+J167+J168,K113+K115+K116+K165+K166+K167+K168)</f>
        <v>0</v>
      </c>
      <c r="L66" s="3">
        <v>111</v>
      </c>
      <c r="M66" s="3">
        <v>111</v>
      </c>
      <c r="N66" s="3">
        <v>111</v>
      </c>
      <c r="O66" s="3">
        <v>111</v>
      </c>
      <c r="P66" s="3">
        <v>111</v>
      </c>
      <c r="Q66" s="3">
        <v>111</v>
      </c>
      <c r="R66" s="3">
        <v>111</v>
      </c>
      <c r="S66" s="3">
        <v>111</v>
      </c>
      <c r="T66" s="3">
        <v>111</v>
      </c>
      <c r="U66" s="3">
        <v>111</v>
      </c>
    </row>
    <row r="67" spans="2:31" s="8" customFormat="1" outlineLevel="1">
      <c r="D67" s="8" t="s">
        <v>68</v>
      </c>
      <c r="G67" s="8">
        <f t="shared" ref="G67:I67" si="77">G66/AVERAGE(G113+G115+G116+G165+G166+G167+G168,F113+F115+F116+F165+F166+F167+F168)</f>
        <v>1.0053165256694434E-2</v>
      </c>
      <c r="H67" s="8">
        <f t="shared" si="77"/>
        <v>9.4597514254037857E-3</v>
      </c>
      <c r="I67" s="8">
        <f t="shared" si="77"/>
        <v>1.150343889730342E-2</v>
      </c>
      <c r="J67" s="8">
        <f>J66/AVERAGE(J113+J115+J116+J165+J166+J167+J168,I113+I115+I116+I165+I166+I167+I168)</f>
        <v>2.723237227470577E-2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2:31" s="19" customFormat="1" outlineLevel="1">
      <c r="B68" s="18"/>
      <c r="C68" s="19" t="s">
        <v>69</v>
      </c>
      <c r="F68" s="19">
        <v>22.077999999999999</v>
      </c>
      <c r="G68" s="19">
        <v>49.426000000000002</v>
      </c>
      <c r="H68" s="19">
        <v>74.861000000000004</v>
      </c>
      <c r="I68" s="19">
        <v>45.661000000000001</v>
      </c>
      <c r="J68" s="19">
        <v>45.86</v>
      </c>
      <c r="K68" s="19">
        <f>K69*K5</f>
        <v>57.22851</v>
      </c>
      <c r="L68" s="19">
        <f>L69*L5</f>
        <v>127.61588884644893</v>
      </c>
      <c r="M68" s="19">
        <f t="shared" ref="M68:U68" si="78">M69*M5</f>
        <v>168.70888018774019</v>
      </c>
      <c r="N68" s="19">
        <f t="shared" si="78"/>
        <v>198.49667166183056</v>
      </c>
      <c r="O68" s="19">
        <f t="shared" si="78"/>
        <v>225.02669686766151</v>
      </c>
      <c r="P68" s="19">
        <f t="shared" si="78"/>
        <v>252.09885593970802</v>
      </c>
      <c r="Q68" s="19">
        <f t="shared" si="78"/>
        <v>282.22875041145426</v>
      </c>
      <c r="R68" s="19">
        <f t="shared" si="78"/>
        <v>310.10474147533034</v>
      </c>
      <c r="S68" s="19">
        <f t="shared" si="78"/>
        <v>335.72391472927967</v>
      </c>
      <c r="T68" s="19">
        <f t="shared" si="78"/>
        <v>361.8872800866867</v>
      </c>
      <c r="U68" s="19">
        <f t="shared" si="78"/>
        <v>390.50772542293299</v>
      </c>
    </row>
    <row r="69" spans="2:31" s="8" customFormat="1" outlineLevel="1">
      <c r="D69" s="8" t="s">
        <v>55</v>
      </c>
      <c r="F69" s="8">
        <f>F68/F5</f>
        <v>3.8351953434287321E-3</v>
      </c>
      <c r="G69" s="8">
        <f t="shared" ref="G69:J69" si="79">G68/G5</f>
        <v>6.3304287595582105E-3</v>
      </c>
      <c r="H69" s="8">
        <f t="shared" si="79"/>
        <v>7.0376801348478969E-3</v>
      </c>
      <c r="I69" s="8">
        <f t="shared" si="79"/>
        <v>2.6908321596313301E-3</v>
      </c>
      <c r="J69" s="8">
        <f t="shared" si="79"/>
        <v>1.7269302305124245E-3</v>
      </c>
      <c r="K69" s="9">
        <v>2E-3</v>
      </c>
      <c r="L69" s="9">
        <v>2E-3</v>
      </c>
      <c r="M69" s="9">
        <v>2E-3</v>
      </c>
      <c r="N69" s="9">
        <v>2E-3</v>
      </c>
      <c r="O69" s="9">
        <v>2E-3</v>
      </c>
      <c r="P69" s="9">
        <v>2E-3</v>
      </c>
      <c r="Q69" s="9">
        <v>2E-3</v>
      </c>
      <c r="R69" s="9">
        <v>2E-3</v>
      </c>
      <c r="S69" s="9">
        <v>2E-3</v>
      </c>
      <c r="T69" s="9">
        <v>2E-3</v>
      </c>
      <c r="U69" s="9">
        <v>2E-3</v>
      </c>
    </row>
    <row r="70" spans="2:31" s="19" customFormat="1" outlineLevel="1">
      <c r="B70" s="18"/>
      <c r="C70" s="19" t="s">
        <v>70</v>
      </c>
      <c r="F70" s="19">
        <f>F65-F66-F68</f>
        <v>10.929999999999996</v>
      </c>
      <c r="G70" s="19">
        <f>G65-G66-G68</f>
        <v>8.9579999999999984</v>
      </c>
      <c r="H70" s="19">
        <f>H65-H66-H68</f>
        <v>11.228999999999999</v>
      </c>
      <c r="I70" s="19">
        <f>I65-I66-I68</f>
        <v>20.405000000000001</v>
      </c>
      <c r="J70" s="19">
        <f>J65-J66-J68</f>
        <v>73.365000000000023</v>
      </c>
    </row>
    <row r="72" spans="2:31">
      <c r="B72" s="1" t="s">
        <v>71</v>
      </c>
      <c r="F72" s="2">
        <v>0</v>
      </c>
      <c r="G72" s="2">
        <v>0</v>
      </c>
      <c r="H72" s="2">
        <v>0.48199999999999998</v>
      </c>
      <c r="I72" s="2">
        <f>30.049-2.363</f>
        <v>27.686</v>
      </c>
      <c r="J72" s="2">
        <f>75.262-10.023</f>
        <v>65.239000000000004</v>
      </c>
      <c r="K72" s="2">
        <f>99.109-24.249</f>
        <v>74.86</v>
      </c>
      <c r="X72" s="2">
        <v>0</v>
      </c>
      <c r="Y72" s="1">
        <f>H72-X72</f>
        <v>0.48199999999999998</v>
      </c>
      <c r="Z72" s="2">
        <v>5.2050000000000001</v>
      </c>
      <c r="AA72" s="1">
        <f>I72-Z72</f>
        <v>22.481000000000002</v>
      </c>
      <c r="AB72" s="2">
        <f>21.828-3.539</f>
        <v>18.288999999999998</v>
      </c>
      <c r="AC72" s="1">
        <f>J72-AB72</f>
        <v>46.95</v>
      </c>
      <c r="AD72" s="2">
        <f>45.452-3.52</f>
        <v>41.931999999999995</v>
      </c>
      <c r="AE72" s="1">
        <f>K72-AD72</f>
        <v>32.928000000000004</v>
      </c>
    </row>
    <row r="74" spans="2:31">
      <c r="B74" s="1" t="s">
        <v>72</v>
      </c>
      <c r="F74" s="2">
        <v>8.0719999999999992</v>
      </c>
      <c r="G74" s="2">
        <v>12.012</v>
      </c>
      <c r="H74" s="2">
        <v>26.062000000000001</v>
      </c>
      <c r="I74" s="2">
        <v>17.856999999999999</v>
      </c>
      <c r="J74" s="2">
        <v>95.084000000000003</v>
      </c>
      <c r="K74" s="2">
        <v>-244.96600000000001</v>
      </c>
      <c r="X74" s="2">
        <v>8.1859999999999999</v>
      </c>
      <c r="Y74" s="1">
        <f>H74-X74</f>
        <v>17.876000000000001</v>
      </c>
      <c r="Z74" s="2">
        <v>18.826000000000001</v>
      </c>
      <c r="AA74" s="1">
        <f>I74-Z74</f>
        <v>-0.96900000000000119</v>
      </c>
      <c r="AB74" s="2">
        <v>-2.786</v>
      </c>
      <c r="AC74" s="1">
        <f>J74-AB74</f>
        <v>97.87</v>
      </c>
      <c r="AD74" s="2">
        <v>32.820999999999998</v>
      </c>
      <c r="AE74" s="1">
        <f>K74-AD74</f>
        <v>-277.78700000000003</v>
      </c>
    </row>
    <row r="76" spans="2:31">
      <c r="B76" s="1" t="s">
        <v>73</v>
      </c>
      <c r="F76" s="2">
        <v>-3.2210000000000001</v>
      </c>
      <c r="G76" s="2">
        <v>-8.1669999999999998</v>
      </c>
      <c r="H76" s="2">
        <v>-8.6140000000000008</v>
      </c>
      <c r="I76" s="2">
        <v>-31.231000000000002</v>
      </c>
      <c r="J76" s="2">
        <v>-236.791</v>
      </c>
      <c r="K76" s="2">
        <v>-445.55900000000003</v>
      </c>
      <c r="L76" s="1">
        <f>L77+L78+L80</f>
        <v>-129.69517261770812</v>
      </c>
      <c r="M76" s="1">
        <f t="shared" ref="M76:U76" si="80">M77+M78+M80</f>
        <v>-18.489112183694655</v>
      </c>
      <c r="N76" s="1">
        <f t="shared" si="80"/>
        <v>-9.8922552165378974</v>
      </c>
      <c r="O76" s="1">
        <f t="shared" si="80"/>
        <v>-2.2580768665766531</v>
      </c>
      <c r="P76" s="1">
        <f t="shared" si="80"/>
        <v>-2.2580768665766531</v>
      </c>
      <c r="Q76" s="1">
        <f t="shared" si="80"/>
        <v>-2.2580768665766531</v>
      </c>
      <c r="R76" s="1">
        <f t="shared" si="80"/>
        <v>-2.2580768665766531</v>
      </c>
      <c r="S76" s="1">
        <f t="shared" si="80"/>
        <v>-2.2580768665766531</v>
      </c>
      <c r="T76" s="1">
        <f t="shared" si="80"/>
        <v>-2.2580768665766531</v>
      </c>
      <c r="U76" s="1">
        <f t="shared" si="80"/>
        <v>-2.2580768665766531</v>
      </c>
      <c r="X76" s="2">
        <v>-6.282</v>
      </c>
      <c r="Y76" s="1">
        <f>H76-X76</f>
        <v>-2.3320000000000007</v>
      </c>
      <c r="Z76" s="2">
        <v>-8.7739999999999991</v>
      </c>
      <c r="AA76" s="1">
        <f>I76-Z76</f>
        <v>-22.457000000000001</v>
      </c>
      <c r="AB76" s="2">
        <v>-102.134</v>
      </c>
      <c r="AC76" s="1">
        <f>J76-AB76</f>
        <v>-134.65699999999998</v>
      </c>
      <c r="AD76" s="2">
        <v>-183.00299999999999</v>
      </c>
      <c r="AE76" s="1">
        <f>K76-AD76</f>
        <v>-262.55600000000004</v>
      </c>
    </row>
    <row r="77" spans="2:31" s="19" customFormat="1" outlineLevel="1">
      <c r="C77" s="19" t="s">
        <v>74</v>
      </c>
      <c r="F77" s="19">
        <v>0</v>
      </c>
      <c r="G77" s="19">
        <v>0</v>
      </c>
      <c r="H77" s="19">
        <v>0</v>
      </c>
      <c r="I77" s="19">
        <v>0</v>
      </c>
      <c r="J77" s="19">
        <v>-216.46799999999999</v>
      </c>
    </row>
    <row r="78" spans="2:31" s="19" customFormat="1" outlineLevel="1">
      <c r="C78" s="19" t="s">
        <v>75</v>
      </c>
      <c r="F78" s="19">
        <v>-3.2210000000000001</v>
      </c>
      <c r="G78" s="19">
        <v>-8.1669999999999998</v>
      </c>
      <c r="H78" s="19">
        <v>-8.6140000000000008</v>
      </c>
      <c r="I78" s="19">
        <v>-31.231000000000002</v>
      </c>
      <c r="J78" s="19">
        <f>-16.697-2.144</f>
        <v>-18.841000000000001</v>
      </c>
      <c r="K78" s="19">
        <f>K79*AVERAGE(J179+J186,K179+K186)</f>
        <v>-126.7277257176256</v>
      </c>
      <c r="L78" s="19">
        <f t="shared" ref="L78:U78" si="81">L79*AVERAGE(K179+K186,L179+L186)</f>
        <v>-129.69517261770812</v>
      </c>
      <c r="M78" s="19">
        <f t="shared" si="81"/>
        <v>-18.489112183694655</v>
      </c>
      <c r="N78" s="19">
        <f t="shared" si="81"/>
        <v>-9.8922552165378974</v>
      </c>
      <c r="O78" s="19">
        <f t="shared" si="81"/>
        <v>-2.2580768665766531</v>
      </c>
      <c r="P78" s="19">
        <f t="shared" si="81"/>
        <v>-2.2580768665766531</v>
      </c>
      <c r="Q78" s="19">
        <f t="shared" si="81"/>
        <v>-2.2580768665766531</v>
      </c>
      <c r="R78" s="19">
        <f t="shared" si="81"/>
        <v>-2.2580768665766531</v>
      </c>
      <c r="S78" s="19">
        <f t="shared" si="81"/>
        <v>-2.2580768665766531</v>
      </c>
      <c r="T78" s="19">
        <f t="shared" si="81"/>
        <v>-2.2580768665766531</v>
      </c>
      <c r="U78" s="19">
        <f t="shared" si="81"/>
        <v>-2.2580768665766531</v>
      </c>
    </row>
    <row r="79" spans="2:31" s="8" customFormat="1" outlineLevel="1">
      <c r="D79" s="8" t="s">
        <v>76</v>
      </c>
      <c r="G79" s="8">
        <f t="shared" ref="G79:I79" si="82">G78/AVERAGE(G179+G186,F179+F186)</f>
        <v>-1.6449922604594578E-2</v>
      </c>
      <c r="H79" s="8">
        <f t="shared" si="82"/>
        <v>-1.8410270768191739E-2</v>
      </c>
      <c r="I79" s="8">
        <f t="shared" si="82"/>
        <v>-8.1375867343083524E-2</v>
      </c>
      <c r="J79" s="8">
        <f>J78/AVERAGE(J179+J186,I179+I186)</f>
        <v>-5.8888430475333195E-2</v>
      </c>
      <c r="K79" s="9">
        <f>J79</f>
        <v>-5.8888430475333195E-2</v>
      </c>
      <c r="L79" s="9">
        <f t="shared" ref="L79:U79" si="83">K79</f>
        <v>-5.8888430475333195E-2</v>
      </c>
      <c r="M79" s="9">
        <f t="shared" si="83"/>
        <v>-5.8888430475333195E-2</v>
      </c>
      <c r="N79" s="9">
        <f t="shared" si="83"/>
        <v>-5.8888430475333195E-2</v>
      </c>
      <c r="O79" s="9">
        <f t="shared" si="83"/>
        <v>-5.8888430475333195E-2</v>
      </c>
      <c r="P79" s="9">
        <f t="shared" si="83"/>
        <v>-5.8888430475333195E-2</v>
      </c>
      <c r="Q79" s="9">
        <f t="shared" si="83"/>
        <v>-5.8888430475333195E-2</v>
      </c>
      <c r="R79" s="9">
        <f t="shared" si="83"/>
        <v>-5.8888430475333195E-2</v>
      </c>
      <c r="S79" s="9">
        <f t="shared" si="83"/>
        <v>-5.8888430475333195E-2</v>
      </c>
      <c r="T79" s="9">
        <f t="shared" si="83"/>
        <v>-5.8888430475333195E-2</v>
      </c>
      <c r="U79" s="9">
        <f t="shared" si="83"/>
        <v>-5.8888430475333195E-2</v>
      </c>
    </row>
    <row r="80" spans="2:31" s="19" customFormat="1" outlineLevel="1">
      <c r="C80" s="19" t="s">
        <v>77</v>
      </c>
      <c r="F80" s="19">
        <f t="shared" ref="F80:I80" si="84">F76-F77-F78</f>
        <v>0</v>
      </c>
      <c r="G80" s="19">
        <f t="shared" si="84"/>
        <v>0</v>
      </c>
      <c r="H80" s="19">
        <f t="shared" si="84"/>
        <v>0</v>
      </c>
      <c r="I80" s="19">
        <f t="shared" si="84"/>
        <v>0</v>
      </c>
      <c r="J80" s="19">
        <f>J76-J77-J78</f>
        <v>-1.4820000000000064</v>
      </c>
    </row>
    <row r="82" spans="2:31" s="6" customFormat="1">
      <c r="B82" s="6" t="s">
        <v>78</v>
      </c>
      <c r="F82" s="6">
        <f t="shared" ref="F82:U82" si="85">F62+F65+F72+F74+F76</f>
        <v>560.10800000000006</v>
      </c>
      <c r="G82" s="6">
        <f t="shared" si="85"/>
        <v>1345.8769999999993</v>
      </c>
      <c r="H82" s="6">
        <f t="shared" si="85"/>
        <v>1625.0500000000009</v>
      </c>
      <c r="I82" s="6">
        <f t="shared" si="85"/>
        <v>2261.829999999999</v>
      </c>
      <c r="J82" s="6">
        <f t="shared" si="85"/>
        <v>3247.2240000000015</v>
      </c>
      <c r="K82" s="6">
        <f t="shared" si="85"/>
        <v>735.14200000000233</v>
      </c>
      <c r="L82" s="6">
        <f t="shared" si="85"/>
        <v>5388.6207167208249</v>
      </c>
      <c r="M82" s="6">
        <f t="shared" si="85"/>
        <v>9017.6058998729459</v>
      </c>
      <c r="N82" s="6">
        <f t="shared" si="85"/>
        <v>10307.189174839836</v>
      </c>
      <c r="O82" s="6">
        <f t="shared" si="85"/>
        <v>10776.574274891636</v>
      </c>
      <c r="P82" s="6">
        <f t="shared" si="85"/>
        <v>11131.666843066962</v>
      </c>
      <c r="Q82" s="6">
        <f t="shared" si="85"/>
        <v>12016.826345853935</v>
      </c>
      <c r="R82" s="6">
        <f t="shared" si="85"/>
        <v>12694.769125773068</v>
      </c>
      <c r="S82" s="6">
        <f t="shared" si="85"/>
        <v>12701.869630721889</v>
      </c>
      <c r="T82" s="6">
        <f t="shared" si="85"/>
        <v>12553.930169101026</v>
      </c>
      <c r="U82" s="6">
        <f t="shared" si="85"/>
        <v>12714.337434552357</v>
      </c>
      <c r="X82" s="6">
        <f t="shared" ref="X82:AE82" si="86">X62+X65+X72+X74+X76</f>
        <v>757.97599999999989</v>
      </c>
      <c r="Y82" s="6">
        <f t="shared" si="86"/>
        <v>867.0740000000003</v>
      </c>
      <c r="Z82" s="6">
        <f t="shared" si="86"/>
        <v>900.91799999999932</v>
      </c>
      <c r="AA82" s="6">
        <f t="shared" si="86"/>
        <v>1360.9119999999975</v>
      </c>
      <c r="AB82" s="6">
        <f t="shared" si="86"/>
        <v>1251.0080000000005</v>
      </c>
      <c r="AC82" s="6">
        <f t="shared" si="86"/>
        <v>1996.2160000000015</v>
      </c>
      <c r="AD82" s="6">
        <f t="shared" si="86"/>
        <v>-924.41800000000057</v>
      </c>
      <c r="AE82" s="6">
        <f t="shared" si="86"/>
        <v>1659.560000000002</v>
      </c>
    </row>
    <row r="84" spans="2:31">
      <c r="B84" s="1" t="s">
        <v>79</v>
      </c>
      <c r="F84" s="2">
        <v>-149.42599999999999</v>
      </c>
      <c r="G84" s="2">
        <v>-367.68599999999998</v>
      </c>
      <c r="H84" s="2">
        <v>-430.70800000000003</v>
      </c>
      <c r="I84" s="2">
        <v>-612.98400000000004</v>
      </c>
      <c r="J84" s="2">
        <v>-900.26199999999994</v>
      </c>
      <c r="K84" s="2">
        <v>-425.596</v>
      </c>
      <c r="L84" s="1">
        <f>-L82*L85</f>
        <v>-1347.1551791802062</v>
      </c>
      <c r="M84" s="1">
        <f t="shared" ref="M84:P84" si="87">-M82*M85</f>
        <v>-2254.4014749682365</v>
      </c>
      <c r="N84" s="1">
        <f t="shared" si="87"/>
        <v>-2576.7972937099589</v>
      </c>
      <c r="O84" s="1">
        <f t="shared" si="87"/>
        <v>-2694.1435687229091</v>
      </c>
      <c r="P84" s="1">
        <f t="shared" si="87"/>
        <v>-2782.9167107667404</v>
      </c>
      <c r="Q84" s="1">
        <f>-Q82*Q85</f>
        <v>-3004.2065864634837</v>
      </c>
      <c r="R84" s="1">
        <f t="shared" ref="R84:U84" si="88">-R82*R85</f>
        <v>-3173.6922814432669</v>
      </c>
      <c r="S84" s="1">
        <f t="shared" si="88"/>
        <v>-3175.4674076804722</v>
      </c>
      <c r="T84" s="1">
        <f t="shared" si="88"/>
        <v>-3138.4825422752565</v>
      </c>
      <c r="U84" s="1">
        <f t="shared" si="88"/>
        <v>-3178.5843586380893</v>
      </c>
      <c r="X84" s="2">
        <v>-204.828</v>
      </c>
      <c r="Y84" s="1">
        <f>H84-X84</f>
        <v>-225.88000000000002</v>
      </c>
      <c r="Z84" s="2">
        <v>-253.50700000000001</v>
      </c>
      <c r="AA84" s="1">
        <f>I84-Z84</f>
        <v>-359.47700000000003</v>
      </c>
      <c r="AB84" s="2">
        <v>-338.84300000000002</v>
      </c>
      <c r="AC84" s="1">
        <f>J84-AB84</f>
        <v>-561.41899999999987</v>
      </c>
      <c r="AD84" s="2">
        <v>-40.088999999999999</v>
      </c>
      <c r="AE84" s="1">
        <f>K84-AD84</f>
        <v>-385.50700000000001</v>
      </c>
    </row>
    <row r="85" spans="2:31" s="8" customFormat="1">
      <c r="C85" s="8" t="s">
        <v>80</v>
      </c>
      <c r="F85" s="8">
        <f>-F84/F82</f>
        <v>0.26678069229505735</v>
      </c>
      <c r="G85" s="8">
        <f t="shared" ref="G85:K85" si="89">-G84/G82</f>
        <v>0.2731943557992299</v>
      </c>
      <c r="H85" s="8">
        <f t="shared" si="89"/>
        <v>0.26504292175625355</v>
      </c>
      <c r="I85" s="8">
        <f t="shared" si="89"/>
        <v>0.27101241030493023</v>
      </c>
      <c r="J85" s="8">
        <f t="shared" si="89"/>
        <v>0.27724049834566372</v>
      </c>
      <c r="K85" s="8">
        <f t="shared" si="89"/>
        <v>0.57893032910648368</v>
      </c>
      <c r="L85" s="9">
        <v>0.25</v>
      </c>
      <c r="M85" s="9">
        <v>0.25</v>
      </c>
      <c r="N85" s="9">
        <v>0.25</v>
      </c>
      <c r="O85" s="9">
        <v>0.25</v>
      </c>
      <c r="P85" s="9">
        <v>0.25</v>
      </c>
      <c r="Q85" s="9">
        <v>0.25</v>
      </c>
      <c r="R85" s="9">
        <v>0.25</v>
      </c>
      <c r="S85" s="9">
        <v>0.25</v>
      </c>
      <c r="T85" s="9">
        <v>0.25</v>
      </c>
      <c r="U85" s="9">
        <v>0.25</v>
      </c>
      <c r="X85" s="8">
        <f t="shared" ref="X85" si="90">-X84/X82</f>
        <v>0.27023019198497056</v>
      </c>
      <c r="Y85" s="8">
        <f>-Y84/Y82</f>
        <v>0.2605083303155209</v>
      </c>
      <c r="Z85" s="8">
        <f t="shared" ref="Z85:AE85" si="91">-Z84/Z82</f>
        <v>0.28138742926659271</v>
      </c>
      <c r="AA85" s="8">
        <f t="shared" si="91"/>
        <v>0.2641441915421428</v>
      </c>
      <c r="AB85" s="8">
        <f t="shared" si="91"/>
        <v>0.27085598173632774</v>
      </c>
      <c r="AC85" s="8">
        <f t="shared" si="91"/>
        <v>0.28124160912446322</v>
      </c>
      <c r="AD85" s="8">
        <f t="shared" si="91"/>
        <v>-4.336674534680196E-2</v>
      </c>
      <c r="AE85" s="8">
        <f t="shared" si="91"/>
        <v>0.23229470462050156</v>
      </c>
    </row>
    <row r="87" spans="2:31" s="6" customFormat="1">
      <c r="B87" s="6" t="s">
        <v>81</v>
      </c>
      <c r="F87" s="6">
        <f>F82+F84</f>
        <v>410.68200000000007</v>
      </c>
      <c r="G87" s="6">
        <f t="shared" ref="G87:U87" si="92">G82+G84</f>
        <v>978.19099999999935</v>
      </c>
      <c r="H87" s="6">
        <f t="shared" si="92"/>
        <v>1194.3420000000008</v>
      </c>
      <c r="I87" s="6">
        <f t="shared" si="92"/>
        <v>1648.8459999999991</v>
      </c>
      <c r="J87" s="6">
        <f t="shared" si="92"/>
        <v>2346.9620000000014</v>
      </c>
      <c r="K87" s="6">
        <f t="shared" si="92"/>
        <v>309.54600000000232</v>
      </c>
      <c r="L87" s="6">
        <f t="shared" si="92"/>
        <v>4041.4655375406187</v>
      </c>
      <c r="M87" s="6">
        <f t="shared" si="92"/>
        <v>6763.2044249047094</v>
      </c>
      <c r="N87" s="6">
        <f t="shared" si="92"/>
        <v>7730.3918811298772</v>
      </c>
      <c r="O87" s="6">
        <f t="shared" si="92"/>
        <v>8082.4307061687268</v>
      </c>
      <c r="P87" s="6">
        <f t="shared" si="92"/>
        <v>8348.7501323002216</v>
      </c>
      <c r="Q87" s="6">
        <f t="shared" si="92"/>
        <v>9012.6197593904508</v>
      </c>
      <c r="R87" s="6">
        <f t="shared" si="92"/>
        <v>9521.0768443298002</v>
      </c>
      <c r="S87" s="6">
        <f t="shared" si="92"/>
        <v>9526.4022230414157</v>
      </c>
      <c r="T87" s="6">
        <f t="shared" si="92"/>
        <v>9415.4476268257695</v>
      </c>
      <c r="U87" s="6">
        <f t="shared" si="92"/>
        <v>9535.7530759142683</v>
      </c>
      <c r="X87" s="6">
        <f t="shared" ref="X87:AE87" si="93">X82+X84</f>
        <v>553.14799999999991</v>
      </c>
      <c r="Y87" s="6">
        <f>Y82+Y84</f>
        <v>641.1940000000003</v>
      </c>
      <c r="Z87" s="6">
        <f t="shared" si="93"/>
        <v>647.41099999999938</v>
      </c>
      <c r="AA87" s="6">
        <f>AA82+AA84</f>
        <v>1001.4349999999974</v>
      </c>
      <c r="AB87" s="6">
        <f t="shared" si="93"/>
        <v>912.16500000000042</v>
      </c>
      <c r="AC87" s="6">
        <f t="shared" si="93"/>
        <v>1434.7970000000016</v>
      </c>
      <c r="AD87" s="6">
        <f t="shared" si="93"/>
        <v>-964.50700000000052</v>
      </c>
      <c r="AE87" s="6">
        <f t="shared" si="93"/>
        <v>1274.0530000000019</v>
      </c>
    </row>
    <row r="88" spans="2:31" s="8" customFormat="1">
      <c r="B88" s="8" t="s">
        <v>82</v>
      </c>
      <c r="F88" s="8">
        <f t="shared" ref="F88:I88" si="94">F87/F$5</f>
        <v>7.1340053176465204E-2</v>
      </c>
      <c r="G88" s="8">
        <f t="shared" si="94"/>
        <v>0.12528564801402098</v>
      </c>
      <c r="H88" s="8">
        <f t="shared" si="94"/>
        <v>0.11228005193110581</v>
      </c>
      <c r="I88" s="8">
        <f t="shared" si="94"/>
        <v>9.7167557501576352E-2</v>
      </c>
      <c r="J88" s="8">
        <f>J87/J$5</f>
        <v>8.8378535273962125E-2</v>
      </c>
      <c r="K88" s="8">
        <f>K87/K$5</f>
        <v>1.0817894787056392E-2</v>
      </c>
      <c r="L88" s="8">
        <f t="shared" ref="L88:U88" si="95">L87/L$5</f>
        <v>6.3337967929736796E-2</v>
      </c>
      <c r="M88" s="8">
        <f t="shared" si="95"/>
        <v>8.0176033619316037E-2</v>
      </c>
      <c r="N88" s="8">
        <f t="shared" si="95"/>
        <v>7.7889385412968359E-2</v>
      </c>
      <c r="O88" s="8">
        <f t="shared" si="95"/>
        <v>7.1835305043134637E-2</v>
      </c>
      <c r="P88" s="8">
        <f t="shared" si="95"/>
        <v>6.6233939072670042E-2</v>
      </c>
      <c r="Q88" s="8">
        <f t="shared" si="95"/>
        <v>6.38674815818812E-2</v>
      </c>
      <c r="R88" s="8">
        <f t="shared" si="95"/>
        <v>6.1405554775028993E-2</v>
      </c>
      <c r="S88" s="8">
        <f t="shared" si="95"/>
        <v>5.6751406766618315E-2</v>
      </c>
      <c r="T88" s="8">
        <f t="shared" si="95"/>
        <v>5.2035250449092255E-2</v>
      </c>
      <c r="U88" s="8">
        <f t="shared" si="95"/>
        <v>4.8837717950838112E-2</v>
      </c>
      <c r="X88" s="8">
        <f>X87/X$5</f>
        <v>0.11630370905359787</v>
      </c>
      <c r="Y88" s="8">
        <f t="shared" ref="Y88:AE88" si="96">Y87/Y$5</f>
        <v>0.10902610988921303</v>
      </c>
      <c r="Z88" s="8">
        <f t="shared" si="96"/>
        <v>8.8171372600932219E-2</v>
      </c>
      <c r="AA88" s="8">
        <f t="shared" si="96"/>
        <v>0.1040294579853684</v>
      </c>
      <c r="AB88" s="8">
        <f t="shared" si="96"/>
        <v>7.7998646557829246E-2</v>
      </c>
      <c r="AC88" s="8">
        <f t="shared" si="96"/>
        <v>9.6546731259175858E-2</v>
      </c>
      <c r="AD88" s="8">
        <f t="shared" si="96"/>
        <v>-9.8816313128130953E-2</v>
      </c>
      <c r="AE88" s="8">
        <f t="shared" si="96"/>
        <v>6.7575933572544405E-2</v>
      </c>
    </row>
    <row r="89" spans="2:31">
      <c r="C89" s="1" t="s">
        <v>83</v>
      </c>
      <c r="F89" s="1">
        <f>F87-F90</f>
        <v>272.6930000000001</v>
      </c>
      <c r="G89" s="1">
        <f>G87-G90</f>
        <v>735.16899999999941</v>
      </c>
      <c r="H89" s="1">
        <f>H87-H90</f>
        <v>1027.8450000000007</v>
      </c>
      <c r="I89" s="1">
        <f t="shared" ref="I89:K89" si="97">I87-I90</f>
        <v>1646.155999999999</v>
      </c>
      <c r="J89" s="1">
        <f t="shared" si="97"/>
        <v>2344.7110000000011</v>
      </c>
      <c r="K89" s="1">
        <f t="shared" si="97"/>
        <v>309.27100000000235</v>
      </c>
      <c r="X89" s="1">
        <f t="shared" ref="X89" si="98">X87-X90</f>
        <v>424.80299999999988</v>
      </c>
      <c r="Y89" s="1">
        <f>Y87-Y90</f>
        <v>603.04200000000026</v>
      </c>
      <c r="Z89" s="1">
        <f t="shared" ref="Z89:AE89" si="99">Z87-Z90</f>
        <v>646.48799999999937</v>
      </c>
      <c r="AA89" s="1">
        <f t="shared" si="99"/>
        <v>999.66799999999739</v>
      </c>
      <c r="AB89" s="1">
        <f t="shared" si="99"/>
        <v>911.03500000000042</v>
      </c>
      <c r="AC89" s="1">
        <f t="shared" si="99"/>
        <v>1433.6760000000015</v>
      </c>
      <c r="AD89" s="1">
        <f t="shared" si="99"/>
        <v>-964.60200000000054</v>
      </c>
      <c r="AE89" s="1">
        <f t="shared" si="99"/>
        <v>1273.8730000000019</v>
      </c>
    </row>
    <row r="90" spans="2:31">
      <c r="C90" s="1" t="s">
        <v>84</v>
      </c>
      <c r="F90" s="2">
        <v>137.989</v>
      </c>
      <c r="G90" s="2">
        <v>243.02199999999999</v>
      </c>
      <c r="H90" s="2">
        <v>166.49700000000001</v>
      </c>
      <c r="I90" s="2">
        <v>2.69</v>
      </c>
      <c r="J90" s="2">
        <v>2.2509999999999999</v>
      </c>
      <c r="K90" s="2">
        <v>0.27500000000000002</v>
      </c>
      <c r="V90" s="2"/>
      <c r="W90" s="2"/>
      <c r="X90" s="2">
        <v>128.345</v>
      </c>
      <c r="Y90" s="1">
        <f>H90-X90</f>
        <v>38.152000000000015</v>
      </c>
      <c r="Z90" s="2">
        <v>0.92300000000000004</v>
      </c>
      <c r="AA90" s="1">
        <f>I90-Z90</f>
        <v>1.7669999999999999</v>
      </c>
      <c r="AB90" s="2">
        <v>1.1299999999999999</v>
      </c>
      <c r="AC90" s="1">
        <f>J90-AB90</f>
        <v>1.121</v>
      </c>
      <c r="AD90" s="2">
        <v>9.5000000000000001E-2</v>
      </c>
      <c r="AE90" s="1">
        <f>K90-AD90</f>
        <v>0.18000000000000002</v>
      </c>
    </row>
    <row r="91" spans="2:31" s="8" customFormat="1">
      <c r="D91" s="8" t="s">
        <v>85</v>
      </c>
      <c r="F91" s="8">
        <f>F90/F87</f>
        <v>0.3359996298839491</v>
      </c>
      <c r="G91" s="8">
        <f>G90/G87</f>
        <v>0.24844023304242235</v>
      </c>
      <c r="H91" s="8">
        <f>H90/H87</f>
        <v>0.13940479360183256</v>
      </c>
      <c r="I91" s="8">
        <f t="shared" ref="I91:K91" si="100">I90/I87</f>
        <v>1.63144405238573E-3</v>
      </c>
      <c r="J91" s="8">
        <f t="shared" si="100"/>
        <v>9.5911224808923137E-4</v>
      </c>
      <c r="K91" s="8">
        <f t="shared" si="100"/>
        <v>8.8839784716971944E-4</v>
      </c>
      <c r="X91" s="8">
        <f t="shared" ref="X91" si="101">X90/X87</f>
        <v>0.2320265100841005</v>
      </c>
      <c r="Y91" s="8">
        <f>Y90/Y87</f>
        <v>5.9501492528002443E-2</v>
      </c>
      <c r="Z91" s="8">
        <f t="shared" ref="Z91:AE91" si="102">Z90/Z87</f>
        <v>1.425678587481524E-3</v>
      </c>
      <c r="AA91" s="8">
        <f t="shared" si="102"/>
        <v>1.7644679884365978E-3</v>
      </c>
      <c r="AB91" s="8">
        <f t="shared" si="102"/>
        <v>1.2388109607362695E-3</v>
      </c>
      <c r="AC91" s="8">
        <f t="shared" si="102"/>
        <v>7.812951936754807E-4</v>
      </c>
      <c r="AD91" s="8">
        <f t="shared" si="102"/>
        <v>-9.8495915529902796E-5</v>
      </c>
      <c r="AE91" s="8">
        <f t="shared" si="102"/>
        <v>1.4128140666047625E-4</v>
      </c>
    </row>
    <row r="93" spans="2:31">
      <c r="B93" s="1" t="s">
        <v>86</v>
      </c>
    </row>
    <row r="94" spans="2:31">
      <c r="C94" s="1" t="s">
        <v>87</v>
      </c>
    </row>
    <row r="95" spans="2:31">
      <c r="C95" s="1" t="s">
        <v>88</v>
      </c>
    </row>
    <row r="97" spans="2:31">
      <c r="B97" s="1" t="s">
        <v>89</v>
      </c>
    </row>
    <row r="98" spans="2:31">
      <c r="C98" s="1" t="s">
        <v>87</v>
      </c>
    </row>
    <row r="99" spans="2:31">
      <c r="C99" s="1" t="s">
        <v>88</v>
      </c>
    </row>
    <row r="102" spans="2:31" s="4" customFormat="1">
      <c r="B102" s="4" t="s">
        <v>90</v>
      </c>
      <c r="C102" s="4" t="s">
        <v>3</v>
      </c>
      <c r="F102" s="5" t="s">
        <v>4</v>
      </c>
      <c r="G102" s="5" t="s">
        <v>5</v>
      </c>
      <c r="H102" s="5" t="s">
        <v>6</v>
      </c>
      <c r="I102" s="5" t="s">
        <v>7</v>
      </c>
      <c r="J102" s="5" t="s">
        <v>8</v>
      </c>
      <c r="K102" s="5" t="s">
        <v>9</v>
      </c>
      <c r="L102" s="5" t="s">
        <v>10</v>
      </c>
      <c r="M102" s="5" t="s">
        <v>11</v>
      </c>
      <c r="N102" s="5" t="s">
        <v>12</v>
      </c>
      <c r="O102" s="5" t="s">
        <v>13</v>
      </c>
      <c r="P102" s="5" t="s">
        <v>14</v>
      </c>
      <c r="Q102" s="5" t="s">
        <v>15</v>
      </c>
      <c r="R102" s="5" t="s">
        <v>16</v>
      </c>
      <c r="S102" s="5" t="s">
        <v>17</v>
      </c>
      <c r="T102" s="5" t="s">
        <v>18</v>
      </c>
      <c r="U102" s="5" t="s">
        <v>19</v>
      </c>
      <c r="X102" s="5" t="s">
        <v>20</v>
      </c>
      <c r="Y102" s="5" t="s">
        <v>21</v>
      </c>
      <c r="Z102" s="5" t="s">
        <v>22</v>
      </c>
      <c r="AA102" s="5" t="s">
        <v>23</v>
      </c>
      <c r="AB102" s="5" t="s">
        <v>24</v>
      </c>
      <c r="AC102" s="5" t="s">
        <v>25</v>
      </c>
      <c r="AD102" s="5" t="s">
        <v>26</v>
      </c>
      <c r="AE102" s="5" t="s">
        <v>27</v>
      </c>
    </row>
    <row r="103" spans="2:31" s="6" customFormat="1">
      <c r="B103" s="6" t="s">
        <v>91</v>
      </c>
      <c r="F103" s="6">
        <f t="shared" ref="F103:U103" si="103">F105+F106+F107+F108+F109+F110+F111+F112+F113+F114+F115+F116+F118</f>
        <v>1222.556</v>
      </c>
      <c r="G103" s="6">
        <f t="shared" si="103"/>
        <v>1492.8479999999997</v>
      </c>
      <c r="H103" s="6">
        <f t="shared" si="103"/>
        <v>2274.1309999999999</v>
      </c>
      <c r="I103" s="6">
        <f t="shared" si="103"/>
        <v>6208.6569999999992</v>
      </c>
      <c r="J103" s="6">
        <f>J105+J106+J107+J108+J109+J110+J111+J112+J113+J114+J115+J116+J118</f>
        <v>13413.641</v>
      </c>
      <c r="K103" s="6">
        <f>K105+K106+K107+K108+K109+K110+K111+K112+K113+K114+K115+K116+K118</f>
        <v>20933.888000000003</v>
      </c>
      <c r="L103" s="6">
        <f t="shared" si="103"/>
        <v>27845.373632997562</v>
      </c>
      <c r="M103" s="6">
        <f t="shared" si="103"/>
        <v>34976.184220851697</v>
      </c>
      <c r="N103" s="6">
        <f t="shared" si="103"/>
        <v>41365.6910787897</v>
      </c>
      <c r="O103" s="6">
        <f t="shared" si="103"/>
        <v>48137.510138821141</v>
      </c>
      <c r="P103" s="6">
        <f t="shared" si="103"/>
        <v>55373.027220434873</v>
      </c>
      <c r="Q103" s="6">
        <f t="shared" si="103"/>
        <v>63143.442675540835</v>
      </c>
      <c r="R103" s="6">
        <f t="shared" si="103"/>
        <v>70186.635059792068</v>
      </c>
      <c r="S103" s="6">
        <f t="shared" si="103"/>
        <v>77519.363243571512</v>
      </c>
      <c r="T103" s="6">
        <f t="shared" si="103"/>
        <v>85258.299789716286</v>
      </c>
      <c r="U103" s="6">
        <f t="shared" si="103"/>
        <v>93495.699167741928</v>
      </c>
      <c r="X103" s="6">
        <f t="shared" ref="X103:AD103" si="104">X105+X106+X107+X108+X109+X110+X111+X112+X113+X114+X115+X116+X118</f>
        <v>0</v>
      </c>
      <c r="Y103" s="6">
        <f t="shared" si="104"/>
        <v>2274.1309999999999</v>
      </c>
      <c r="Z103" s="6">
        <f t="shared" si="104"/>
        <v>3046.0710000000004</v>
      </c>
      <c r="AA103" s="6">
        <f t="shared" si="104"/>
        <v>6208.6569999999992</v>
      </c>
      <c r="AB103" s="6">
        <f t="shared" si="104"/>
        <v>10036.045</v>
      </c>
      <c r="AC103" s="6">
        <f t="shared" si="104"/>
        <v>13413.641</v>
      </c>
      <c r="AD103" s="6">
        <f t="shared" si="104"/>
        <v>15589.587</v>
      </c>
      <c r="AE103" s="6">
        <f>AE105+AE106+AE107+AE108+AE109+AE110+AE111+AE112+AE113+AE114+AE115+AE116+AE118</f>
        <v>20933.888000000003</v>
      </c>
    </row>
    <row r="105" spans="2:31">
      <c r="C105" s="1" t="s">
        <v>92</v>
      </c>
      <c r="F105" s="2">
        <v>796.62800000000004</v>
      </c>
      <c r="G105" s="2">
        <v>943.04100000000005</v>
      </c>
      <c r="H105" s="2">
        <v>2085.4279999999999</v>
      </c>
      <c r="I105" s="2">
        <v>3999.8029999999999</v>
      </c>
      <c r="J105" s="2">
        <v>7689.58</v>
      </c>
      <c r="K105" s="2">
        <v>12063.795</v>
      </c>
      <c r="L105" s="1">
        <f t="shared" ref="L105:U105" si="105">L129</f>
        <v>18889.587483856129</v>
      </c>
      <c r="M105" s="1">
        <f t="shared" si="105"/>
        <v>25161.248863667868</v>
      </c>
      <c r="N105" s="1">
        <f t="shared" si="105"/>
        <v>31344.382872813658</v>
      </c>
      <c r="O105" s="1">
        <f t="shared" si="105"/>
        <v>37930.982652688035</v>
      </c>
      <c r="P105" s="1">
        <f t="shared" si="105"/>
        <v>44998.780591366689</v>
      </c>
      <c r="Q105" s="1">
        <f t="shared" si="105"/>
        <v>52615.982249390443</v>
      </c>
      <c r="R105" s="1">
        <f t="shared" si="105"/>
        <v>60045.141894566084</v>
      </c>
      <c r="S105" s="1">
        <f t="shared" si="105"/>
        <v>67690.50824685549</v>
      </c>
      <c r="T105" s="1">
        <f t="shared" si="105"/>
        <v>75680.957573886408</v>
      </c>
      <c r="U105" s="1">
        <f t="shared" si="105"/>
        <v>84118.921028379918</v>
      </c>
      <c r="X105" s="2"/>
      <c r="Y105" s="2">
        <v>2085.4279999999999</v>
      </c>
      <c r="Z105" s="2">
        <v>2760.5410000000002</v>
      </c>
      <c r="AA105" s="2">
        <v>3999.8029999999999</v>
      </c>
      <c r="AB105" s="2">
        <v>5037.2120000000004</v>
      </c>
      <c r="AC105" s="2">
        <v>7689.58</v>
      </c>
      <c r="AD105" s="2">
        <v>8800.2469999999994</v>
      </c>
      <c r="AE105" s="2">
        <v>12063.795</v>
      </c>
    </row>
    <row r="106" spans="2:31">
      <c r="C106" s="1" t="s">
        <v>93</v>
      </c>
      <c r="F106" s="2">
        <v>0</v>
      </c>
      <c r="G106" s="2">
        <v>0</v>
      </c>
      <c r="H106" s="2">
        <v>0</v>
      </c>
      <c r="I106" s="2">
        <v>0</v>
      </c>
      <c r="J106" s="2">
        <v>4755.8389999999999</v>
      </c>
      <c r="K106" s="2">
        <v>7564.6090000000004</v>
      </c>
      <c r="L106" s="1">
        <f t="shared" ref="L106:U106" si="106">L150</f>
        <v>7510.9993055555542</v>
      </c>
      <c r="M106" s="1">
        <f t="shared" si="106"/>
        <v>8259.1660879629617</v>
      </c>
      <c r="N106" s="1">
        <f t="shared" si="106"/>
        <v>8382.6384066358005</v>
      </c>
      <c r="O106" s="1">
        <f t="shared" si="106"/>
        <v>8485.5320055298344</v>
      </c>
      <c r="P106" s="1">
        <f t="shared" si="106"/>
        <v>8571.2766712748617</v>
      </c>
      <c r="Q106" s="1">
        <f t="shared" si="106"/>
        <v>8642.7305593957171</v>
      </c>
      <c r="R106" s="1">
        <f t="shared" si="106"/>
        <v>8202.275466163097</v>
      </c>
      <c r="S106" s="1">
        <f t="shared" si="106"/>
        <v>7835.2295551359139</v>
      </c>
      <c r="T106" s="1">
        <f t="shared" si="106"/>
        <v>7529.3579626132605</v>
      </c>
      <c r="U106" s="1">
        <f t="shared" si="106"/>
        <v>7274.4649688443824</v>
      </c>
      <c r="X106" s="2"/>
      <c r="Y106" s="2">
        <v>0</v>
      </c>
      <c r="Z106" s="2">
        <v>0</v>
      </c>
      <c r="AA106" s="2">
        <v>0</v>
      </c>
      <c r="AB106" s="2">
        <v>4019.7060000000001</v>
      </c>
      <c r="AC106" s="2">
        <v>4755.8389999999999</v>
      </c>
      <c r="AD106" s="2">
        <v>5729.3519999999999</v>
      </c>
      <c r="AE106" s="2">
        <v>7564.6090000000004</v>
      </c>
    </row>
    <row r="107" spans="2:31">
      <c r="C107" s="1" t="s">
        <v>94</v>
      </c>
      <c r="F107" s="2">
        <v>0</v>
      </c>
      <c r="G107" s="2">
        <v>0</v>
      </c>
      <c r="H107" s="2">
        <v>0</v>
      </c>
      <c r="I107" s="2">
        <v>0</v>
      </c>
      <c r="J107" s="2">
        <v>92.602000000000004</v>
      </c>
      <c r="K107" s="2">
        <v>62.383000000000003</v>
      </c>
      <c r="L107" s="1">
        <f t="shared" ref="L107:U107" si="107">K107</f>
        <v>62.383000000000003</v>
      </c>
      <c r="M107" s="1">
        <f t="shared" si="107"/>
        <v>62.383000000000003</v>
      </c>
      <c r="N107" s="1">
        <f t="shared" si="107"/>
        <v>62.383000000000003</v>
      </c>
      <c r="O107" s="1">
        <f t="shared" si="107"/>
        <v>62.383000000000003</v>
      </c>
      <c r="P107" s="1">
        <f t="shared" si="107"/>
        <v>62.383000000000003</v>
      </c>
      <c r="Q107" s="1">
        <f t="shared" si="107"/>
        <v>62.383000000000003</v>
      </c>
      <c r="R107" s="1">
        <f t="shared" si="107"/>
        <v>62.383000000000003</v>
      </c>
      <c r="S107" s="1">
        <f t="shared" si="107"/>
        <v>62.383000000000003</v>
      </c>
      <c r="T107" s="1">
        <f t="shared" si="107"/>
        <v>62.383000000000003</v>
      </c>
      <c r="U107" s="1">
        <f t="shared" si="107"/>
        <v>62.383000000000003</v>
      </c>
      <c r="X107" s="2"/>
      <c r="Y107" s="2">
        <v>0</v>
      </c>
      <c r="Z107" s="2">
        <v>0</v>
      </c>
      <c r="AA107" s="2">
        <v>0</v>
      </c>
      <c r="AB107" s="2">
        <v>92.602000000000004</v>
      </c>
      <c r="AC107" s="2">
        <v>92.602000000000004</v>
      </c>
      <c r="AD107" s="2">
        <v>92.602000000000004</v>
      </c>
      <c r="AE107" s="2">
        <v>62.383000000000003</v>
      </c>
    </row>
    <row r="108" spans="2:31">
      <c r="C108" s="1" t="s">
        <v>95</v>
      </c>
      <c r="F108" s="2">
        <v>19.219000000000001</v>
      </c>
      <c r="G108" s="2">
        <v>14.954000000000001</v>
      </c>
      <c r="H108" s="2">
        <v>10.619</v>
      </c>
      <c r="I108" s="2">
        <v>51.816000000000003</v>
      </c>
      <c r="J108" s="2">
        <v>111.864</v>
      </c>
      <c r="K108" s="2">
        <v>91.563000000000002</v>
      </c>
      <c r="L108" s="1">
        <f t="shared" ref="L108:U108" si="108">L140</f>
        <v>122.30189905583359</v>
      </c>
      <c r="M108" s="1">
        <f t="shared" si="108"/>
        <v>124.72038016077127</v>
      </c>
      <c r="N108" s="1">
        <f t="shared" si="108"/>
        <v>126.19795188261418</v>
      </c>
      <c r="O108" s="1">
        <f t="shared" si="108"/>
        <v>127.1006747481071</v>
      </c>
      <c r="P108" s="1">
        <f t="shared" si="108"/>
        <v>127.6521935406212</v>
      </c>
      <c r="Q108" s="1">
        <f t="shared" si="108"/>
        <v>127.98914410443581</v>
      </c>
      <c r="R108" s="1">
        <f t="shared" si="108"/>
        <v>128.19500414764019</v>
      </c>
      <c r="S108" s="1">
        <f t="shared" si="108"/>
        <v>128.32077439983493</v>
      </c>
      <c r="T108" s="1">
        <f t="shared" si="108"/>
        <v>128.39761377133655</v>
      </c>
      <c r="U108" s="1">
        <f t="shared" si="108"/>
        <v>128.4445588073028</v>
      </c>
      <c r="X108" s="2"/>
      <c r="Y108" s="2">
        <v>10.619</v>
      </c>
      <c r="Z108" s="2">
        <v>31.876000000000001</v>
      </c>
      <c r="AA108" s="2">
        <v>51.816000000000003</v>
      </c>
      <c r="AB108" s="2">
        <v>144.65899999999999</v>
      </c>
      <c r="AC108" s="2">
        <v>111.864</v>
      </c>
      <c r="AD108" s="2">
        <v>103.015</v>
      </c>
      <c r="AE108" s="2">
        <v>91.563000000000002</v>
      </c>
    </row>
    <row r="109" spans="2:31">
      <c r="C109" s="1" t="s">
        <v>96</v>
      </c>
      <c r="F109" s="2">
        <v>0</v>
      </c>
      <c r="G109" s="2">
        <v>0</v>
      </c>
      <c r="H109" s="2">
        <v>4.4820000000000002</v>
      </c>
      <c r="I109" s="2">
        <f>34.531+65.331</f>
        <v>99.861999999999995</v>
      </c>
      <c r="J109" s="2">
        <f>169.417+56.741</f>
        <v>226.15800000000002</v>
      </c>
      <c r="K109" s="2">
        <f>268.526+32.806</f>
        <v>301.33199999999999</v>
      </c>
      <c r="L109" s="1">
        <f t="shared" ref="L109:U115" si="109">K109</f>
        <v>301.33199999999999</v>
      </c>
      <c r="M109" s="1">
        <f t="shared" si="109"/>
        <v>301.33199999999999</v>
      </c>
      <c r="N109" s="1">
        <f t="shared" si="109"/>
        <v>301.33199999999999</v>
      </c>
      <c r="O109" s="1">
        <f t="shared" si="109"/>
        <v>301.33199999999999</v>
      </c>
      <c r="P109" s="1">
        <f t="shared" si="109"/>
        <v>301.33199999999999</v>
      </c>
      <c r="Q109" s="1">
        <f t="shared" si="109"/>
        <v>301.33199999999999</v>
      </c>
      <c r="R109" s="1">
        <f t="shared" si="109"/>
        <v>301.33199999999999</v>
      </c>
      <c r="S109" s="1">
        <f t="shared" si="109"/>
        <v>301.33199999999999</v>
      </c>
      <c r="T109" s="1">
        <f t="shared" si="109"/>
        <v>301.33199999999999</v>
      </c>
      <c r="U109" s="1">
        <f t="shared" si="109"/>
        <v>301.33199999999999</v>
      </c>
      <c r="X109" s="2"/>
      <c r="Y109" s="2">
        <v>4.4820000000000002</v>
      </c>
      <c r="Z109" s="2">
        <v>9.6869999999999994</v>
      </c>
      <c r="AA109" s="2">
        <f>34.531+65.331</f>
        <v>99.861999999999995</v>
      </c>
      <c r="AB109" s="2">
        <f>115.984+61.792</f>
        <v>177.77600000000001</v>
      </c>
      <c r="AC109" s="2">
        <f>169.417+56.741</f>
        <v>226.15800000000002</v>
      </c>
      <c r="AD109" s="2">
        <f>214.869+53.535</f>
        <v>268.404</v>
      </c>
      <c r="AE109" s="2">
        <f>268.526+32.806</f>
        <v>301.33199999999999</v>
      </c>
    </row>
    <row r="110" spans="2:31">
      <c r="C110" s="20" t="s">
        <v>97</v>
      </c>
      <c r="F110" s="2">
        <v>305.31900000000002</v>
      </c>
      <c r="G110" s="2">
        <v>410.51799999999997</v>
      </c>
      <c r="H110" s="2">
        <v>0</v>
      </c>
      <c r="I110" s="2">
        <v>0</v>
      </c>
      <c r="J110" s="2">
        <v>0</v>
      </c>
      <c r="K110" s="2">
        <v>0</v>
      </c>
      <c r="L110" s="3">
        <f t="shared" si="109"/>
        <v>0</v>
      </c>
      <c r="M110" s="3">
        <f t="shared" si="109"/>
        <v>0</v>
      </c>
      <c r="N110" s="3">
        <f t="shared" si="109"/>
        <v>0</v>
      </c>
      <c r="O110" s="3">
        <f t="shared" si="109"/>
        <v>0</v>
      </c>
      <c r="P110" s="3">
        <f t="shared" si="109"/>
        <v>0</v>
      </c>
      <c r="Q110" s="3">
        <f t="shared" si="109"/>
        <v>0</v>
      </c>
      <c r="R110" s="3">
        <f t="shared" si="109"/>
        <v>0</v>
      </c>
      <c r="S110" s="3">
        <f t="shared" si="109"/>
        <v>0</v>
      </c>
      <c r="T110" s="3">
        <f t="shared" si="109"/>
        <v>0</v>
      </c>
      <c r="U110" s="3">
        <f t="shared" si="109"/>
        <v>0</v>
      </c>
      <c r="X110" s="2"/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</row>
    <row r="111" spans="2:31">
      <c r="C111" s="1" t="s">
        <v>98</v>
      </c>
      <c r="F111" s="2">
        <v>6.4939999999999998</v>
      </c>
      <c r="G111" s="2">
        <v>6.9370000000000003</v>
      </c>
      <c r="H111" s="2">
        <v>0</v>
      </c>
      <c r="I111" s="2">
        <v>12.585000000000001</v>
      </c>
      <c r="J111" s="2">
        <v>44.267000000000003</v>
      </c>
      <c r="K111" s="2">
        <v>86.998999999999995</v>
      </c>
      <c r="L111" s="1">
        <f t="shared" si="109"/>
        <v>86.998999999999995</v>
      </c>
      <c r="M111" s="1">
        <f t="shared" si="109"/>
        <v>86.998999999999995</v>
      </c>
      <c r="N111" s="1">
        <f t="shared" si="109"/>
        <v>86.998999999999995</v>
      </c>
      <c r="O111" s="1">
        <f t="shared" si="109"/>
        <v>86.998999999999995</v>
      </c>
      <c r="P111" s="1">
        <f t="shared" si="109"/>
        <v>86.998999999999995</v>
      </c>
      <c r="Q111" s="1">
        <f t="shared" si="109"/>
        <v>86.998999999999995</v>
      </c>
      <c r="R111" s="1">
        <f t="shared" si="109"/>
        <v>86.998999999999995</v>
      </c>
      <c r="S111" s="1">
        <f t="shared" si="109"/>
        <v>86.998999999999995</v>
      </c>
      <c r="T111" s="1">
        <f t="shared" si="109"/>
        <v>86.998999999999995</v>
      </c>
      <c r="U111" s="1">
        <f t="shared" si="109"/>
        <v>86.998999999999995</v>
      </c>
      <c r="X111" s="2"/>
      <c r="Y111" s="2">
        <v>0</v>
      </c>
      <c r="Z111" s="2">
        <v>12.585000000000001</v>
      </c>
      <c r="AA111" s="2">
        <v>12.585000000000001</v>
      </c>
      <c r="AB111" s="2">
        <v>33.177999999999997</v>
      </c>
      <c r="AC111" s="2">
        <v>44.267000000000003</v>
      </c>
      <c r="AD111" s="2">
        <v>23.678999999999998</v>
      </c>
      <c r="AE111" s="2">
        <v>86.998999999999995</v>
      </c>
    </row>
    <row r="112" spans="2:31">
      <c r="C112" s="1" t="s">
        <v>99</v>
      </c>
      <c r="F112" s="2">
        <v>0</v>
      </c>
      <c r="G112" s="2">
        <v>0</v>
      </c>
      <c r="H112" s="2">
        <v>0</v>
      </c>
      <c r="I112" s="2">
        <v>0</v>
      </c>
      <c r="J112" s="2">
        <v>48.832999999999998</v>
      </c>
      <c r="K112" s="2">
        <v>0</v>
      </c>
      <c r="L112" s="1">
        <f t="shared" si="109"/>
        <v>0</v>
      </c>
      <c r="M112" s="1">
        <f t="shared" si="109"/>
        <v>0</v>
      </c>
      <c r="N112" s="1">
        <f t="shared" si="109"/>
        <v>0</v>
      </c>
      <c r="O112" s="1">
        <f t="shared" si="109"/>
        <v>0</v>
      </c>
      <c r="P112" s="1">
        <f t="shared" si="109"/>
        <v>0</v>
      </c>
      <c r="Q112" s="1">
        <f t="shared" si="109"/>
        <v>0</v>
      </c>
      <c r="R112" s="1">
        <f t="shared" si="109"/>
        <v>0</v>
      </c>
      <c r="S112" s="1">
        <f t="shared" si="109"/>
        <v>0</v>
      </c>
      <c r="T112" s="1">
        <f t="shared" si="109"/>
        <v>0</v>
      </c>
      <c r="U112" s="1">
        <f t="shared" si="109"/>
        <v>0</v>
      </c>
      <c r="X112" s="2"/>
      <c r="Y112" s="2">
        <v>0</v>
      </c>
      <c r="Z112" s="2">
        <v>0</v>
      </c>
      <c r="AA112" s="2">
        <v>0</v>
      </c>
      <c r="AB112" s="2">
        <v>0</v>
      </c>
      <c r="AC112" s="2">
        <v>48.832999999999998</v>
      </c>
      <c r="AD112" s="2">
        <v>49.557000000000002</v>
      </c>
      <c r="AE112" s="2">
        <v>0</v>
      </c>
    </row>
    <row r="113" spans="3:31">
      <c r="C113" s="1" t="s">
        <v>100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52.414000000000001</v>
      </c>
      <c r="L113" s="1">
        <f t="shared" si="109"/>
        <v>52.414000000000001</v>
      </c>
      <c r="M113" s="1">
        <f t="shared" si="109"/>
        <v>52.414000000000001</v>
      </c>
      <c r="N113" s="1">
        <f t="shared" si="109"/>
        <v>52.414000000000001</v>
      </c>
      <c r="O113" s="1">
        <f t="shared" si="109"/>
        <v>52.414000000000001</v>
      </c>
      <c r="P113" s="1">
        <f t="shared" si="109"/>
        <v>52.414000000000001</v>
      </c>
      <c r="Q113" s="1">
        <f t="shared" si="109"/>
        <v>52.414000000000001</v>
      </c>
      <c r="R113" s="1">
        <f t="shared" si="109"/>
        <v>52.414000000000001</v>
      </c>
      <c r="S113" s="1">
        <f t="shared" si="109"/>
        <v>52.414000000000001</v>
      </c>
      <c r="T113" s="1">
        <f t="shared" si="109"/>
        <v>52.414000000000001</v>
      </c>
      <c r="U113" s="1">
        <f t="shared" si="109"/>
        <v>52.414000000000001</v>
      </c>
      <c r="X113" s="2"/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52.414000000000001</v>
      </c>
    </row>
    <row r="114" spans="3:31">
      <c r="C114" s="20" t="s">
        <v>101</v>
      </c>
      <c r="F114" s="2">
        <v>42.177</v>
      </c>
      <c r="G114" s="2">
        <v>49</v>
      </c>
      <c r="H114" s="2">
        <v>52.753999999999998</v>
      </c>
      <c r="I114" s="2">
        <v>91.626000000000005</v>
      </c>
      <c r="J114" s="2">
        <v>170.16900000000001</v>
      </c>
      <c r="K114" s="2">
        <v>353.44299999999998</v>
      </c>
      <c r="L114" s="3">
        <f t="shared" si="109"/>
        <v>353.44299999999998</v>
      </c>
      <c r="M114" s="3">
        <f t="shared" si="109"/>
        <v>353.44299999999998</v>
      </c>
      <c r="N114" s="3">
        <f t="shared" si="109"/>
        <v>353.44299999999998</v>
      </c>
      <c r="O114" s="3">
        <f t="shared" si="109"/>
        <v>353.44299999999998</v>
      </c>
      <c r="P114" s="3">
        <f t="shared" si="109"/>
        <v>353.44299999999998</v>
      </c>
      <c r="Q114" s="3">
        <f t="shared" si="109"/>
        <v>353.44299999999998</v>
      </c>
      <c r="R114" s="3">
        <f t="shared" si="109"/>
        <v>353.44299999999998</v>
      </c>
      <c r="S114" s="3">
        <f t="shared" si="109"/>
        <v>353.44299999999998</v>
      </c>
      <c r="T114" s="3">
        <f t="shared" si="109"/>
        <v>353.44299999999998</v>
      </c>
      <c r="U114" s="3">
        <f t="shared" si="109"/>
        <v>353.44299999999998</v>
      </c>
      <c r="X114" s="2"/>
      <c r="Y114" s="2">
        <v>52.753999999999998</v>
      </c>
      <c r="Z114" s="2">
        <v>67.42</v>
      </c>
      <c r="AA114" s="2">
        <v>91.626000000000005</v>
      </c>
      <c r="AB114" s="2">
        <v>155.58799999999999</v>
      </c>
      <c r="AC114" s="2">
        <v>170.16900000000001</v>
      </c>
      <c r="AD114" s="2">
        <v>216.405</v>
      </c>
      <c r="AE114" s="2">
        <v>353.44299999999998</v>
      </c>
    </row>
    <row r="115" spans="3:31">
      <c r="C115" s="1" t="s">
        <v>102</v>
      </c>
      <c r="F115" s="2">
        <v>0</v>
      </c>
      <c r="G115" s="2">
        <v>0</v>
      </c>
      <c r="H115" s="2">
        <v>0</v>
      </c>
      <c r="I115" s="2">
        <v>1720.2159999999999</v>
      </c>
      <c r="J115" s="2">
        <v>0</v>
      </c>
      <c r="K115" s="2">
        <f t="shared" ref="K115" si="110">J115</f>
        <v>0</v>
      </c>
      <c r="L115" s="1">
        <f t="shared" si="109"/>
        <v>0</v>
      </c>
      <c r="M115" s="1">
        <f t="shared" si="109"/>
        <v>0</v>
      </c>
      <c r="N115" s="1">
        <f t="shared" si="109"/>
        <v>0</v>
      </c>
      <c r="O115" s="1">
        <f t="shared" si="109"/>
        <v>0</v>
      </c>
      <c r="P115" s="1">
        <f t="shared" si="109"/>
        <v>0</v>
      </c>
      <c r="Q115" s="1">
        <f t="shared" si="109"/>
        <v>0</v>
      </c>
      <c r="R115" s="1">
        <f t="shared" si="109"/>
        <v>0</v>
      </c>
      <c r="S115" s="1">
        <f t="shared" si="109"/>
        <v>0</v>
      </c>
      <c r="T115" s="1">
        <f t="shared" si="109"/>
        <v>0</v>
      </c>
      <c r="U115" s="1">
        <f t="shared" si="109"/>
        <v>0</v>
      </c>
      <c r="X115" s="2"/>
      <c r="Y115" s="2">
        <v>0</v>
      </c>
      <c r="Z115" s="2">
        <v>0</v>
      </c>
      <c r="AA115" s="2">
        <v>1720.2159999999999</v>
      </c>
      <c r="AB115" s="2">
        <v>0</v>
      </c>
      <c r="AC115" s="2">
        <v>0</v>
      </c>
      <c r="AD115" s="2">
        <v>0</v>
      </c>
      <c r="AE115" s="2">
        <f t="shared" ref="AE115" si="111">AD115</f>
        <v>0</v>
      </c>
    </row>
    <row r="116" spans="3:31">
      <c r="C116" s="20" t="s">
        <v>103</v>
      </c>
      <c r="F116" s="2">
        <v>52.719000000000001</v>
      </c>
      <c r="G116" s="2">
        <v>68.397999999999996</v>
      </c>
      <c r="H116" s="2">
        <v>120.848</v>
      </c>
      <c r="I116" s="2">
        <v>232.749</v>
      </c>
      <c r="J116" s="2">
        <v>269.26900000000001</v>
      </c>
      <c r="K116" s="2">
        <v>352.29</v>
      </c>
      <c r="L116" s="1">
        <f>L117*L312</f>
        <v>460.85394453004625</v>
      </c>
      <c r="M116" s="1">
        <f>M117*M312</f>
        <v>569.41788906009253</v>
      </c>
      <c r="N116" s="1">
        <f>N117*N312</f>
        <v>650.84084745762721</v>
      </c>
      <c r="O116" s="1">
        <f>O117*O312</f>
        <v>732.26380585516188</v>
      </c>
      <c r="P116" s="1">
        <f>P117*P312</f>
        <v>813.68676425269655</v>
      </c>
      <c r="Q116" s="1">
        <f>Q117*Q312</f>
        <v>895.10972265023122</v>
      </c>
      <c r="R116" s="1">
        <f>R117*R312</f>
        <v>949.39169491525433</v>
      </c>
      <c r="S116" s="1">
        <f>S117*S312</f>
        <v>1003.6736671802774</v>
      </c>
      <c r="T116" s="1">
        <f>T117*T312</f>
        <v>1057.9556394453004</v>
      </c>
      <c r="U116" s="1">
        <f>U117*U312</f>
        <v>1112.2376117103236</v>
      </c>
      <c r="X116" s="2"/>
      <c r="Y116" s="2">
        <v>120.848</v>
      </c>
      <c r="Z116" s="2">
        <v>163.96199999999999</v>
      </c>
      <c r="AA116" s="2">
        <v>232.749</v>
      </c>
      <c r="AB116" s="2">
        <v>229.72900000000001</v>
      </c>
      <c r="AC116" s="2">
        <v>269.26900000000001</v>
      </c>
      <c r="AD116" s="2">
        <v>301.26600000000002</v>
      </c>
      <c r="AE116" s="2">
        <v>352.29</v>
      </c>
    </row>
    <row r="117" spans="3:31" s="10" customFormat="1">
      <c r="D117" s="10" t="s">
        <v>104</v>
      </c>
      <c r="F117" s="15">
        <f>F116/F312</f>
        <v>0.36108904109589041</v>
      </c>
      <c r="G117" s="15">
        <f>G116/G312</f>
        <v>0.388625</v>
      </c>
      <c r="H117" s="15">
        <f>H116/H312</f>
        <v>0.44266666666666665</v>
      </c>
      <c r="I117" s="15">
        <f>I116/I312</f>
        <v>0.49946137339055791</v>
      </c>
      <c r="J117" s="15">
        <f>J116/J312</f>
        <v>0.35061067708333332</v>
      </c>
      <c r="K117" s="15">
        <f>K116/K312</f>
        <v>0.27140986132511558</v>
      </c>
      <c r="L117" s="16">
        <f t="shared" ref="L117:U118" si="112">K117</f>
        <v>0.27140986132511558</v>
      </c>
      <c r="M117" s="16">
        <f t="shared" si="112"/>
        <v>0.27140986132511558</v>
      </c>
      <c r="N117" s="16">
        <f t="shared" si="112"/>
        <v>0.27140986132511558</v>
      </c>
      <c r="O117" s="16">
        <f t="shared" si="112"/>
        <v>0.27140986132511558</v>
      </c>
      <c r="P117" s="16">
        <f t="shared" si="112"/>
        <v>0.27140986132511558</v>
      </c>
      <c r="Q117" s="16">
        <f t="shared" si="112"/>
        <v>0.27140986132511558</v>
      </c>
      <c r="R117" s="16">
        <f t="shared" si="112"/>
        <v>0.27140986132511558</v>
      </c>
      <c r="S117" s="16">
        <f t="shared" si="112"/>
        <v>0.27140986132511558</v>
      </c>
      <c r="T117" s="16">
        <f t="shared" si="112"/>
        <v>0.27140986132511558</v>
      </c>
      <c r="U117" s="16">
        <f t="shared" si="112"/>
        <v>0.27140986132511558</v>
      </c>
      <c r="AE117" s="15"/>
    </row>
    <row r="118" spans="3:31">
      <c r="C118" s="1" t="s">
        <v>105</v>
      </c>
      <c r="F118" s="2">
        <v>0</v>
      </c>
      <c r="G118" s="2">
        <v>0</v>
      </c>
      <c r="H118" s="2">
        <v>0</v>
      </c>
      <c r="I118" s="2">
        <v>0</v>
      </c>
      <c r="J118" s="2">
        <v>5.0599999999999996</v>
      </c>
      <c r="K118" s="2">
        <v>5.0599999999999996</v>
      </c>
      <c r="L118" s="1">
        <f t="shared" si="112"/>
        <v>5.0599999999999996</v>
      </c>
      <c r="M118" s="1">
        <f t="shared" si="112"/>
        <v>5.0599999999999996</v>
      </c>
      <c r="N118" s="1">
        <f t="shared" si="112"/>
        <v>5.0599999999999996</v>
      </c>
      <c r="O118" s="1">
        <f t="shared" si="112"/>
        <v>5.0599999999999996</v>
      </c>
      <c r="P118" s="1">
        <f t="shared" si="112"/>
        <v>5.0599999999999996</v>
      </c>
      <c r="Q118" s="1">
        <f t="shared" si="112"/>
        <v>5.0599999999999996</v>
      </c>
      <c r="R118" s="1">
        <f t="shared" si="112"/>
        <v>5.0599999999999996</v>
      </c>
      <c r="S118" s="1">
        <f t="shared" si="112"/>
        <v>5.0599999999999996</v>
      </c>
      <c r="T118" s="1">
        <f t="shared" si="112"/>
        <v>5.0599999999999996</v>
      </c>
      <c r="U118" s="1">
        <f t="shared" si="112"/>
        <v>5.0599999999999996</v>
      </c>
      <c r="X118" s="2"/>
      <c r="Y118" s="2">
        <v>0</v>
      </c>
      <c r="Z118" s="2">
        <v>0</v>
      </c>
      <c r="AA118" s="2">
        <v>0</v>
      </c>
      <c r="AB118" s="2">
        <v>145.595</v>
      </c>
      <c r="AC118" s="2">
        <v>5.0599999999999996</v>
      </c>
      <c r="AD118" s="2">
        <v>5.0599999999999996</v>
      </c>
      <c r="AE118" s="2">
        <v>5.0599999999999996</v>
      </c>
    </row>
    <row r="120" spans="3:31" s="21" customFormat="1">
      <c r="C120" s="21" t="s">
        <v>106</v>
      </c>
    </row>
    <row r="121" spans="3:31" outlineLevel="1">
      <c r="C121" s="1" t="s">
        <v>107</v>
      </c>
      <c r="F121" s="2">
        <f>1091.336-446.127</f>
        <v>645.20900000000006</v>
      </c>
      <c r="G121" s="1">
        <f t="shared" ref="G121:I121" si="113">F129</f>
        <v>796.62800000000004</v>
      </c>
      <c r="H121" s="1">
        <f t="shared" si="113"/>
        <v>943.04100000000005</v>
      </c>
      <c r="I121" s="1">
        <f t="shared" si="113"/>
        <v>2085.4279999999999</v>
      </c>
      <c r="J121" s="1">
        <f>I129</f>
        <v>3999.8029999999999</v>
      </c>
      <c r="K121" s="1">
        <f t="shared" ref="K121:U121" si="114">J129</f>
        <v>7689.58</v>
      </c>
      <c r="L121" s="1">
        <f t="shared" si="114"/>
        <v>13320.156974160705</v>
      </c>
      <c r="M121" s="1">
        <f t="shared" si="114"/>
        <v>18889.587483856129</v>
      </c>
      <c r="N121" s="1">
        <f t="shared" si="114"/>
        <v>25161.248863667868</v>
      </c>
      <c r="O121" s="1">
        <f t="shared" si="114"/>
        <v>31344.382872813658</v>
      </c>
      <c r="P121" s="1">
        <f t="shared" si="114"/>
        <v>37930.982652688035</v>
      </c>
      <c r="Q121" s="1">
        <f t="shared" si="114"/>
        <v>44998.780591366689</v>
      </c>
      <c r="R121" s="1">
        <f t="shared" si="114"/>
        <v>52615.982249390443</v>
      </c>
      <c r="S121" s="1">
        <f t="shared" si="114"/>
        <v>60045.141894566084</v>
      </c>
      <c r="T121" s="1">
        <f t="shared" si="114"/>
        <v>67690.50824685549</v>
      </c>
      <c r="U121" s="1">
        <f t="shared" si="114"/>
        <v>75680.957573886408</v>
      </c>
    </row>
    <row r="122" spans="3:31" outlineLevel="1">
      <c r="C122" s="1" t="s">
        <v>108</v>
      </c>
      <c r="F122" s="1">
        <f t="shared" ref="F122:I122" si="115">-F240</f>
        <v>399.92500000000001</v>
      </c>
      <c r="G122" s="1">
        <f t="shared" si="115"/>
        <v>429.46600000000001</v>
      </c>
      <c r="H122" s="1">
        <f t="shared" si="115"/>
        <v>1242.904</v>
      </c>
      <c r="I122" s="1">
        <f t="shared" si="115"/>
        <v>2508.2629999999999</v>
      </c>
      <c r="J122" s="1">
        <f>-J240</f>
        <v>4880.8069999999998</v>
      </c>
      <c r="K122" s="1">
        <f>K123+K124</f>
        <v>8001.2316841201718</v>
      </c>
      <c r="L122" s="1">
        <f t="shared" ref="L122:U122" si="116">L123+L124</f>
        <v>9675.9607581866949</v>
      </c>
      <c r="M122" s="1">
        <f t="shared" si="116"/>
        <v>12095.21605221191</v>
      </c>
      <c r="N122" s="1">
        <f t="shared" si="116"/>
        <v>13940.206973744178</v>
      </c>
      <c r="O122" s="1">
        <f t="shared" si="116"/>
        <v>16249.898541082206</v>
      </c>
      <c r="P122" s="1">
        <f t="shared" si="116"/>
        <v>18761.708747719676</v>
      </c>
      <c r="Q122" s="1">
        <f t="shared" si="116"/>
        <v>21490.075228668185</v>
      </c>
      <c r="R122" s="1">
        <f t="shared" si="116"/>
        <v>23650.37408584225</v>
      </c>
      <c r="S122" s="1">
        <f t="shared" si="116"/>
        <v>26156.949357152818</v>
      </c>
      <c r="T122" s="1">
        <f t="shared" si="116"/>
        <v>28859.05622037984</v>
      </c>
      <c r="U122" s="1">
        <f t="shared" si="116"/>
        <v>31769.981396536681</v>
      </c>
    </row>
    <row r="123" spans="3:31" outlineLevel="1">
      <c r="D123" s="1" t="s">
        <v>109</v>
      </c>
      <c r="F123" s="3">
        <f t="shared" ref="F123:I123" si="117">F298*9</f>
        <v>324</v>
      </c>
      <c r="G123" s="3">
        <f t="shared" si="117"/>
        <v>288</v>
      </c>
      <c r="H123" s="3">
        <f t="shared" si="117"/>
        <v>882</v>
      </c>
      <c r="I123" s="3">
        <f t="shared" si="117"/>
        <v>1800</v>
      </c>
      <c r="J123" s="3">
        <f>J298*9</f>
        <v>2772</v>
      </c>
      <c r="K123" s="3">
        <f>K298*8</f>
        <v>4352</v>
      </c>
      <c r="L123" s="3">
        <f t="shared" ref="L123:U123" si="118">L298*8</f>
        <v>3200</v>
      </c>
      <c r="M123" s="3">
        <f t="shared" si="118"/>
        <v>3200</v>
      </c>
      <c r="N123" s="3">
        <f t="shared" si="118"/>
        <v>2400</v>
      </c>
      <c r="O123" s="3">
        <f t="shared" si="118"/>
        <v>2400</v>
      </c>
      <c r="P123" s="3">
        <f>P298*8</f>
        <v>2400</v>
      </c>
      <c r="Q123" s="3">
        <f t="shared" si="118"/>
        <v>2400</v>
      </c>
      <c r="R123" s="3">
        <f t="shared" si="118"/>
        <v>1600</v>
      </c>
      <c r="S123" s="3">
        <f t="shared" si="118"/>
        <v>1600</v>
      </c>
      <c r="T123" s="3">
        <f>T298*8</f>
        <v>1600</v>
      </c>
      <c r="U123" s="3">
        <f t="shared" si="118"/>
        <v>1600</v>
      </c>
    </row>
    <row r="124" spans="3:31" outlineLevel="1">
      <c r="D124" s="1" t="s">
        <v>110</v>
      </c>
      <c r="F124" s="1">
        <f>F122-F123</f>
        <v>75.925000000000011</v>
      </c>
      <c r="G124" s="1">
        <f t="shared" ref="G124:J124" si="119">G122-G123</f>
        <v>141.46600000000001</v>
      </c>
      <c r="H124" s="1">
        <f t="shared" si="119"/>
        <v>360.904</v>
      </c>
      <c r="I124" s="1">
        <f t="shared" si="119"/>
        <v>708.26299999999992</v>
      </c>
      <c r="J124" s="1">
        <f t="shared" si="119"/>
        <v>2108.8069999999998</v>
      </c>
      <c r="K124" s="1">
        <f>K125*K297</f>
        <v>3649.2316841201714</v>
      </c>
      <c r="L124" s="1">
        <f>L125*L297</f>
        <v>6475.9607581866949</v>
      </c>
      <c r="M124" s="1">
        <f>M125*M297</f>
        <v>8895.2160522119102</v>
      </c>
      <c r="N124" s="1">
        <f>N125*N297</f>
        <v>11540.206973744178</v>
      </c>
      <c r="O124" s="1">
        <f>O125*O297</f>
        <v>13849.898541082206</v>
      </c>
      <c r="P124" s="1">
        <f>P125*P297</f>
        <v>16361.708747719675</v>
      </c>
      <c r="Q124" s="1">
        <f>Q125*Q297</f>
        <v>19090.075228668185</v>
      </c>
      <c r="R124" s="1">
        <f>R125*R297</f>
        <v>22050.37408584225</v>
      </c>
      <c r="S124" s="1">
        <f>S125*S297</f>
        <v>24556.949357152818</v>
      </c>
      <c r="T124" s="1">
        <f>T125*T297</f>
        <v>27259.05622037984</v>
      </c>
      <c r="U124" s="1">
        <f>U125*U297</f>
        <v>30169.981396536681</v>
      </c>
    </row>
    <row r="125" spans="3:31" s="10" customFormat="1" outlineLevel="1">
      <c r="E125" s="10" t="s">
        <v>111</v>
      </c>
      <c r="F125" s="15">
        <f>F124/F297</f>
        <v>0.67790178571428583</v>
      </c>
      <c r="G125" s="15">
        <f>G124/G297</f>
        <v>0.96894520547945207</v>
      </c>
      <c r="H125" s="15">
        <f>H124/H297</f>
        <v>2.0505909090909089</v>
      </c>
      <c r="I125" s="15">
        <f>I124/I297</f>
        <v>2.5943699633699633</v>
      </c>
      <c r="J125" s="15">
        <f>J124/J297</f>
        <v>4.5253369098712444</v>
      </c>
      <c r="K125" s="16">
        <f>J125*(1+5%)</f>
        <v>4.7516037553648065</v>
      </c>
      <c r="L125" s="16">
        <f t="shared" ref="L125:U125" si="120">K125*(1+5%)</f>
        <v>4.9891839431330469</v>
      </c>
      <c r="M125" s="16">
        <f t="shared" si="120"/>
        <v>5.2386431402896996</v>
      </c>
      <c r="N125" s="16">
        <f t="shared" si="120"/>
        <v>5.5005752973041844</v>
      </c>
      <c r="O125" s="16">
        <f t="shared" si="120"/>
        <v>5.7756040621693936</v>
      </c>
      <c r="P125" s="16">
        <f t="shared" si="120"/>
        <v>6.0643842652778632</v>
      </c>
      <c r="Q125" s="16">
        <f t="shared" si="120"/>
        <v>6.3676034785417563</v>
      </c>
      <c r="R125" s="16">
        <f t="shared" si="120"/>
        <v>6.6859836524688445</v>
      </c>
      <c r="S125" s="16">
        <f t="shared" si="120"/>
        <v>7.0202828350922868</v>
      </c>
      <c r="T125" s="16">
        <f t="shared" si="120"/>
        <v>7.3712969768469012</v>
      </c>
      <c r="U125" s="16">
        <f t="shared" si="120"/>
        <v>7.7398618256892462</v>
      </c>
    </row>
    <row r="126" spans="3:31" outlineLevel="1">
      <c r="C126" s="1" t="s">
        <v>52</v>
      </c>
      <c r="F126" s="22">
        <f t="shared" ref="F126:I126" si="121">-F229</f>
        <v>-236.04900000000001</v>
      </c>
      <c r="G126" s="22">
        <f t="shared" si="121"/>
        <v>-281.39499999999998</v>
      </c>
      <c r="H126" s="22">
        <f t="shared" si="121"/>
        <v>-355.37700000000001</v>
      </c>
      <c r="I126" s="22">
        <f t="shared" si="121"/>
        <v>-679.59</v>
      </c>
      <c r="J126" s="22">
        <f>-J229</f>
        <v>-1233.117</v>
      </c>
      <c r="K126" s="22">
        <f>K121/K127</f>
        <v>-2370.6547099594654</v>
      </c>
      <c r="L126" s="22">
        <f t="shared" ref="L126:U126" si="122">L121/L127</f>
        <v>-4106.53024849127</v>
      </c>
      <c r="M126" s="22">
        <f t="shared" si="122"/>
        <v>-5823.5546724001697</v>
      </c>
      <c r="N126" s="22">
        <f t="shared" si="122"/>
        <v>-7757.0729645983884</v>
      </c>
      <c r="O126" s="22">
        <f t="shared" si="122"/>
        <v>-9663.2987612078286</v>
      </c>
      <c r="P126" s="22">
        <f t="shared" si="122"/>
        <v>-11693.910809041023</v>
      </c>
      <c r="Q126" s="22">
        <f t="shared" si="122"/>
        <v>-13872.873570644433</v>
      </c>
      <c r="R126" s="22">
        <f t="shared" si="122"/>
        <v>-16221.214440666601</v>
      </c>
      <c r="S126" s="22">
        <f t="shared" si="122"/>
        <v>-18511.583004863402</v>
      </c>
      <c r="T126" s="22">
        <f t="shared" si="122"/>
        <v>-20868.606893348922</v>
      </c>
      <c r="U126" s="22">
        <f t="shared" si="122"/>
        <v>-23332.017942043167</v>
      </c>
    </row>
    <row r="127" spans="3:31" s="23" customFormat="1" outlineLevel="1">
      <c r="C127" s="23" t="s">
        <v>112</v>
      </c>
      <c r="F127" s="24">
        <f t="shared" ref="F127:H127" si="123">F121/F126</f>
        <v>-2.733368919165089</v>
      </c>
      <c r="G127" s="24">
        <f t="shared" si="123"/>
        <v>-2.8309955756143501</v>
      </c>
      <c r="H127" s="24">
        <f t="shared" si="123"/>
        <v>-2.6536354350450368</v>
      </c>
      <c r="I127" s="24">
        <f>I121/I126</f>
        <v>-3.0686561014729468</v>
      </c>
      <c r="J127" s="24">
        <f>J121/J126</f>
        <v>-3.243652467689603</v>
      </c>
      <c r="K127" s="25">
        <f>J127</f>
        <v>-3.243652467689603</v>
      </c>
      <c r="L127" s="25">
        <f t="shared" ref="L127:U127" si="124">K127</f>
        <v>-3.243652467689603</v>
      </c>
      <c r="M127" s="25">
        <f t="shared" si="124"/>
        <v>-3.243652467689603</v>
      </c>
      <c r="N127" s="25">
        <f t="shared" si="124"/>
        <v>-3.243652467689603</v>
      </c>
      <c r="O127" s="25">
        <f t="shared" si="124"/>
        <v>-3.243652467689603</v>
      </c>
      <c r="P127" s="25">
        <f t="shared" si="124"/>
        <v>-3.243652467689603</v>
      </c>
      <c r="Q127" s="25">
        <f t="shared" si="124"/>
        <v>-3.243652467689603</v>
      </c>
      <c r="R127" s="25">
        <f t="shared" si="124"/>
        <v>-3.243652467689603</v>
      </c>
      <c r="S127" s="25">
        <f t="shared" si="124"/>
        <v>-3.243652467689603</v>
      </c>
      <c r="T127" s="25">
        <f t="shared" si="124"/>
        <v>-3.243652467689603</v>
      </c>
      <c r="U127" s="25">
        <f t="shared" si="124"/>
        <v>-3.243652467689603</v>
      </c>
    </row>
    <row r="128" spans="3:31" outlineLevel="1">
      <c r="C128" s="1" t="s">
        <v>113</v>
      </c>
      <c r="F128" s="1">
        <f t="shared" ref="F128:I128" si="125">F121+F122+F126</f>
        <v>809.08500000000004</v>
      </c>
      <c r="G128" s="1">
        <f t="shared" si="125"/>
        <v>944.69900000000007</v>
      </c>
      <c r="H128" s="1">
        <f t="shared" si="125"/>
        <v>1830.5680000000002</v>
      </c>
      <c r="I128" s="1">
        <f t="shared" si="125"/>
        <v>3914.1009999999997</v>
      </c>
      <c r="J128" s="1">
        <f>J121+J122+J126</f>
        <v>7647.4930000000004</v>
      </c>
      <c r="K128" s="1">
        <f>K121+K122+K126</f>
        <v>13320.156974160705</v>
      </c>
      <c r="L128" s="1">
        <f t="shared" ref="L128:U128" si="126">L121+L122+L126</f>
        <v>18889.587483856129</v>
      </c>
      <c r="M128" s="1">
        <f t="shared" si="126"/>
        <v>25161.248863667868</v>
      </c>
      <c r="N128" s="1">
        <f t="shared" si="126"/>
        <v>31344.382872813658</v>
      </c>
      <c r="O128" s="1">
        <f t="shared" si="126"/>
        <v>37930.982652688035</v>
      </c>
      <c r="P128" s="1">
        <f t="shared" si="126"/>
        <v>44998.780591366689</v>
      </c>
      <c r="Q128" s="1">
        <f t="shared" si="126"/>
        <v>52615.982249390443</v>
      </c>
      <c r="R128" s="1">
        <f t="shared" si="126"/>
        <v>60045.141894566084</v>
      </c>
      <c r="S128" s="1">
        <f t="shared" si="126"/>
        <v>67690.50824685549</v>
      </c>
      <c r="T128" s="1">
        <f t="shared" si="126"/>
        <v>75680.957573886408</v>
      </c>
      <c r="U128" s="1">
        <f t="shared" si="126"/>
        <v>84118.921028379918</v>
      </c>
    </row>
    <row r="129" spans="3:21" outlineLevel="1">
      <c r="C129" s="1" t="s">
        <v>114</v>
      </c>
      <c r="F129" s="1">
        <f t="shared" ref="F129:I129" si="127">F105</f>
        <v>796.62800000000004</v>
      </c>
      <c r="G129" s="1">
        <f t="shared" si="127"/>
        <v>943.04100000000005</v>
      </c>
      <c r="H129" s="1">
        <f t="shared" si="127"/>
        <v>2085.4279999999999</v>
      </c>
      <c r="I129" s="1">
        <f t="shared" si="127"/>
        <v>3999.8029999999999</v>
      </c>
      <c r="J129" s="1">
        <f>J105</f>
        <v>7689.58</v>
      </c>
      <c r="K129" s="1">
        <f>K128</f>
        <v>13320.156974160705</v>
      </c>
      <c r="L129" s="1">
        <f t="shared" ref="L129:U129" si="128">L128</f>
        <v>18889.587483856129</v>
      </c>
      <c r="M129" s="1">
        <f t="shared" si="128"/>
        <v>25161.248863667868</v>
      </c>
      <c r="N129" s="1">
        <f t="shared" si="128"/>
        <v>31344.382872813658</v>
      </c>
      <c r="O129" s="1">
        <f t="shared" si="128"/>
        <v>37930.982652688035</v>
      </c>
      <c r="P129" s="1">
        <f t="shared" si="128"/>
        <v>44998.780591366689</v>
      </c>
      <c r="Q129" s="1">
        <f t="shared" si="128"/>
        <v>52615.982249390443</v>
      </c>
      <c r="R129" s="1">
        <f t="shared" si="128"/>
        <v>60045.141894566084</v>
      </c>
      <c r="S129" s="1">
        <f t="shared" si="128"/>
        <v>67690.50824685549</v>
      </c>
      <c r="T129" s="1">
        <f t="shared" si="128"/>
        <v>75680.957573886408</v>
      </c>
      <c r="U129" s="1">
        <f t="shared" si="128"/>
        <v>84118.921028379918</v>
      </c>
    </row>
    <row r="130" spans="3:21" s="26" customFormat="1" outlineLevel="1">
      <c r="C130" s="26" t="s">
        <v>115</v>
      </c>
      <c r="F130" s="26">
        <f>F129-F128</f>
        <v>-12.456999999999994</v>
      </c>
      <c r="G130" s="26">
        <f>G129-G128</f>
        <v>-1.6580000000000155</v>
      </c>
      <c r="H130" s="26">
        <f>H129-H128</f>
        <v>254.85999999999967</v>
      </c>
      <c r="I130" s="26">
        <f>I129-I128</f>
        <v>85.702000000000226</v>
      </c>
      <c r="J130" s="26">
        <f>J129-J128</f>
        <v>42.086999999999534</v>
      </c>
    </row>
    <row r="131" spans="3:21" outlineLevel="1">
      <c r="D131" s="1" t="s">
        <v>116</v>
      </c>
      <c r="F131" s="27">
        <f>F129/F279</f>
        <v>5.4563561643835623</v>
      </c>
      <c r="G131" s="27">
        <f>G129/G279</f>
        <v>5.3581875000000005</v>
      </c>
      <c r="H131" s="27">
        <f>H129/H279</f>
        <v>7.6389304029304022</v>
      </c>
      <c r="I131" s="27">
        <f>I129/I279</f>
        <v>8.5832682403433473</v>
      </c>
      <c r="J131" s="27">
        <f>J129/J279</f>
        <v>10.012473958333333</v>
      </c>
      <c r="K131" s="27">
        <f>K129/K279</f>
        <v>10.26206238379099</v>
      </c>
      <c r="L131" s="27">
        <f>L129/L279</f>
        <v>11.124609825592538</v>
      </c>
      <c r="M131" s="27">
        <f>M129/M279</f>
        <v>11.992968953130537</v>
      </c>
      <c r="N131" s="27">
        <f>N129/N279</f>
        <v>13.071052073733803</v>
      </c>
      <c r="O131" s="27">
        <f>O129/O279</f>
        <v>14.058926112931074</v>
      </c>
      <c r="P131" s="27">
        <f>P129/P279</f>
        <v>15.00959993040917</v>
      </c>
      <c r="Q131" s="27">
        <f>Q129/Q279</f>
        <v>15.95390607925726</v>
      </c>
      <c r="R131" s="27">
        <f>R129/R279</f>
        <v>17.165563720573495</v>
      </c>
      <c r="S131" s="27">
        <f>S129/S279</f>
        <v>18.304626351231878</v>
      </c>
      <c r="T131" s="27">
        <f>T129/T279</f>
        <v>19.415330316543461</v>
      </c>
      <c r="U131" s="27">
        <f>U129/U279</f>
        <v>20.526823091356739</v>
      </c>
    </row>
    <row r="132" spans="3:21" s="8" customFormat="1" outlineLevel="1">
      <c r="E132" s="8" t="s">
        <v>30</v>
      </c>
      <c r="G132" s="8">
        <f t="shared" ref="G132:I132" si="129">G131/F131-1</f>
        <v>-1.7991615911065129E-2</v>
      </c>
      <c r="H132" s="8">
        <f t="shared" si="129"/>
        <v>0.4256556723575653</v>
      </c>
      <c r="I132" s="8">
        <f t="shared" si="129"/>
        <v>0.12362173597637227</v>
      </c>
      <c r="J132" s="8">
        <f>J131/I131-1</f>
        <v>0.1665106667961731</v>
      </c>
      <c r="K132" s="8">
        <f t="shared" ref="K132:U132" si="130">K131/J131-1</f>
        <v>2.4927747777054199E-2</v>
      </c>
      <c r="L132" s="8">
        <f t="shared" si="130"/>
        <v>8.4052055965275319E-2</v>
      </c>
      <c r="M132" s="8">
        <f t="shared" si="130"/>
        <v>7.8057490658262063E-2</v>
      </c>
      <c r="N132" s="8">
        <f t="shared" si="130"/>
        <v>8.9892930167375429E-2</v>
      </c>
      <c r="O132" s="8">
        <f t="shared" si="130"/>
        <v>7.5577239966964749E-2</v>
      </c>
      <c r="P132" s="8">
        <f t="shared" si="130"/>
        <v>6.7620656787127364E-2</v>
      </c>
      <c r="Q132" s="8">
        <f t="shared" si="130"/>
        <v>6.291347892190946E-2</v>
      </c>
      <c r="R132" s="8">
        <f t="shared" si="130"/>
        <v>7.5947397163857566E-2</v>
      </c>
      <c r="S132" s="8">
        <f t="shared" si="130"/>
        <v>6.6357426368303774E-2</v>
      </c>
      <c r="T132" s="8">
        <f t="shared" si="130"/>
        <v>6.0678865768643897E-2</v>
      </c>
      <c r="U132" s="8">
        <f t="shared" si="130"/>
        <v>5.7248203182316937E-2</v>
      </c>
    </row>
    <row r="134" spans="3:21" s="21" customFormat="1">
      <c r="C134" s="21" t="s">
        <v>117</v>
      </c>
    </row>
    <row r="135" spans="3:21" outlineLevel="1">
      <c r="C135" s="1" t="s">
        <v>107</v>
      </c>
      <c r="F135" s="2">
        <f>10.494-0.684</f>
        <v>9.81</v>
      </c>
      <c r="G135" s="1">
        <f t="shared" ref="G135:I135" si="131">F140</f>
        <v>19.219000000000001</v>
      </c>
      <c r="H135" s="1">
        <f t="shared" si="131"/>
        <v>14.954000000000001</v>
      </c>
      <c r="I135" s="1">
        <f t="shared" si="131"/>
        <v>10.619</v>
      </c>
      <c r="J135" s="1">
        <f>I140</f>
        <v>51.816000000000003</v>
      </c>
      <c r="K135" s="1">
        <f t="shared" ref="K135:U135" si="132">J140</f>
        <v>111.864</v>
      </c>
      <c r="L135" s="1">
        <f t="shared" si="132"/>
        <v>118.34334275127375</v>
      </c>
      <c r="M135" s="1">
        <f t="shared" si="132"/>
        <v>122.30189905583359</v>
      </c>
      <c r="N135" s="1">
        <f t="shared" si="132"/>
        <v>124.72038016077127</v>
      </c>
      <c r="O135" s="1">
        <f t="shared" si="132"/>
        <v>126.19795188261418</v>
      </c>
      <c r="P135" s="1">
        <f t="shared" si="132"/>
        <v>127.1006747481071</v>
      </c>
      <c r="Q135" s="1">
        <f t="shared" si="132"/>
        <v>127.6521935406212</v>
      </c>
      <c r="R135" s="1">
        <f t="shared" si="132"/>
        <v>127.98914410443581</v>
      </c>
      <c r="S135" s="1">
        <f t="shared" si="132"/>
        <v>128.19500414764019</v>
      </c>
      <c r="T135" s="1">
        <f t="shared" si="132"/>
        <v>128.32077439983493</v>
      </c>
      <c r="U135" s="1">
        <f t="shared" si="132"/>
        <v>128.39761377133655</v>
      </c>
    </row>
    <row r="136" spans="3:21" outlineLevel="1">
      <c r="C136" s="1" t="s">
        <v>108</v>
      </c>
      <c r="F136" s="1">
        <f t="shared" ref="F136:I136" si="133">-F241</f>
        <v>12.512</v>
      </c>
      <c r="G136" s="1">
        <f t="shared" si="133"/>
        <v>0.22600000000000001</v>
      </c>
      <c r="H136" s="1">
        <f t="shared" si="133"/>
        <v>0.17299999999999999</v>
      </c>
      <c r="I136" s="1">
        <f t="shared" si="133"/>
        <v>50.805999999999997</v>
      </c>
      <c r="J136" s="1">
        <f>-J241</f>
        <v>63.118000000000002</v>
      </c>
      <c r="K136" s="3">
        <v>50</v>
      </c>
      <c r="L136" s="3">
        <f>K136</f>
        <v>50</v>
      </c>
      <c r="M136" s="3">
        <f t="shared" ref="M136:U136" si="134">L136</f>
        <v>50</v>
      </c>
      <c r="N136" s="3">
        <f t="shared" si="134"/>
        <v>50</v>
      </c>
      <c r="O136" s="3">
        <f t="shared" si="134"/>
        <v>50</v>
      </c>
      <c r="P136" s="3">
        <f t="shared" si="134"/>
        <v>50</v>
      </c>
      <c r="Q136" s="3">
        <f t="shared" si="134"/>
        <v>50</v>
      </c>
      <c r="R136" s="3">
        <f t="shared" si="134"/>
        <v>50</v>
      </c>
      <c r="S136" s="3">
        <f t="shared" si="134"/>
        <v>50</v>
      </c>
      <c r="T136" s="3">
        <f t="shared" si="134"/>
        <v>50</v>
      </c>
      <c r="U136" s="3">
        <f t="shared" si="134"/>
        <v>50</v>
      </c>
    </row>
    <row r="137" spans="3:21" outlineLevel="1">
      <c r="C137" s="1" t="s">
        <v>52</v>
      </c>
      <c r="F137" s="22">
        <f t="shared" ref="F137:I137" si="135">-F230</f>
        <v>-3.13</v>
      </c>
      <c r="G137" s="22">
        <f t="shared" si="135"/>
        <v>-4.5229999999999997</v>
      </c>
      <c r="H137" s="22">
        <f t="shared" si="135"/>
        <v>-4.4619999999999997</v>
      </c>
      <c r="I137" s="22">
        <f t="shared" si="135"/>
        <v>-9.7309999999999999</v>
      </c>
      <c r="J137" s="22">
        <f>-J230</f>
        <v>-20.158999999999999</v>
      </c>
      <c r="K137" s="1">
        <f>K135/K138</f>
        <v>-43.520657248726259</v>
      </c>
      <c r="L137" s="1">
        <f>L135/L138</f>
        <v>-46.041443695440158</v>
      </c>
      <c r="M137" s="1">
        <f t="shared" ref="M137:U137" si="136">M135/M138</f>
        <v>-47.581518895062317</v>
      </c>
      <c r="N137" s="1">
        <f t="shared" si="136"/>
        <v>-48.522428278157086</v>
      </c>
      <c r="O137" s="1">
        <f t="shared" si="136"/>
        <v>-49.097277134507081</v>
      </c>
      <c r="P137" s="1">
        <f t="shared" si="136"/>
        <v>-49.448481207485919</v>
      </c>
      <c r="Q137" s="1">
        <f t="shared" si="136"/>
        <v>-49.663049436185396</v>
      </c>
      <c r="R137" s="1">
        <f t="shared" si="136"/>
        <v>-49.794139956795604</v>
      </c>
      <c r="S137" s="1">
        <f t="shared" si="136"/>
        <v>-49.874229747805273</v>
      </c>
      <c r="T137" s="1">
        <f t="shared" si="136"/>
        <v>-49.92316062849838</v>
      </c>
      <c r="U137" s="1">
        <f t="shared" si="136"/>
        <v>-49.953054964033754</v>
      </c>
    </row>
    <row r="138" spans="3:21" s="23" customFormat="1" outlineLevel="1">
      <c r="C138" s="23" t="s">
        <v>118</v>
      </c>
      <c r="F138" s="24">
        <f t="shared" ref="F138:H138" si="137">F135/F137</f>
        <v>-3.1341853035143772</v>
      </c>
      <c r="G138" s="24">
        <f t="shared" si="137"/>
        <v>-4.2491709042670802</v>
      </c>
      <c r="H138" s="24">
        <f t="shared" si="137"/>
        <v>-3.3514119229045276</v>
      </c>
      <c r="I138" s="24">
        <f>I135/I137</f>
        <v>-1.0912547528517109</v>
      </c>
      <c r="J138" s="24">
        <f>J135/J137</f>
        <v>-2.5703655935314256</v>
      </c>
      <c r="K138" s="25">
        <f>J138</f>
        <v>-2.5703655935314256</v>
      </c>
      <c r="L138" s="25">
        <f>K138</f>
        <v>-2.5703655935314256</v>
      </c>
      <c r="M138" s="25">
        <f t="shared" ref="M138:U138" si="138">L138</f>
        <v>-2.5703655935314256</v>
      </c>
      <c r="N138" s="25">
        <f t="shared" si="138"/>
        <v>-2.5703655935314256</v>
      </c>
      <c r="O138" s="25">
        <f t="shared" si="138"/>
        <v>-2.5703655935314256</v>
      </c>
      <c r="P138" s="25">
        <f t="shared" si="138"/>
        <v>-2.5703655935314256</v>
      </c>
      <c r="Q138" s="25">
        <f t="shared" si="138"/>
        <v>-2.5703655935314256</v>
      </c>
      <c r="R138" s="25">
        <f t="shared" si="138"/>
        <v>-2.5703655935314256</v>
      </c>
      <c r="S138" s="25">
        <f t="shared" si="138"/>
        <v>-2.5703655935314256</v>
      </c>
      <c r="T138" s="25">
        <f t="shared" si="138"/>
        <v>-2.5703655935314256</v>
      </c>
      <c r="U138" s="25">
        <f t="shared" si="138"/>
        <v>-2.5703655935314256</v>
      </c>
    </row>
    <row r="139" spans="3:21" outlineLevel="1">
      <c r="C139" s="1" t="s">
        <v>113</v>
      </c>
      <c r="F139" s="1">
        <f t="shared" ref="F139:I139" si="139">F135+F136+F137</f>
        <v>19.192000000000004</v>
      </c>
      <c r="G139" s="1">
        <f t="shared" si="139"/>
        <v>14.922000000000001</v>
      </c>
      <c r="H139" s="1">
        <f t="shared" si="139"/>
        <v>10.665000000000001</v>
      </c>
      <c r="I139" s="1">
        <f t="shared" si="139"/>
        <v>51.693999999999996</v>
      </c>
      <c r="J139" s="1">
        <f>J135+J136+J137</f>
        <v>94.775000000000006</v>
      </c>
      <c r="K139" s="1">
        <f>K135+K136+K137</f>
        <v>118.34334275127375</v>
      </c>
      <c r="L139" s="1">
        <f>L135+L136+L137</f>
        <v>122.30189905583359</v>
      </c>
      <c r="M139" s="1">
        <f t="shared" ref="M139:U139" si="140">M135+M136+M137</f>
        <v>124.72038016077127</v>
      </c>
      <c r="N139" s="1">
        <f t="shared" si="140"/>
        <v>126.19795188261418</v>
      </c>
      <c r="O139" s="1">
        <f t="shared" si="140"/>
        <v>127.1006747481071</v>
      </c>
      <c r="P139" s="1">
        <f t="shared" si="140"/>
        <v>127.6521935406212</v>
      </c>
      <c r="Q139" s="1">
        <f t="shared" si="140"/>
        <v>127.98914410443581</v>
      </c>
      <c r="R139" s="1">
        <f t="shared" si="140"/>
        <v>128.19500414764019</v>
      </c>
      <c r="S139" s="1">
        <f t="shared" si="140"/>
        <v>128.32077439983493</v>
      </c>
      <c r="T139" s="1">
        <f t="shared" si="140"/>
        <v>128.39761377133655</v>
      </c>
      <c r="U139" s="1">
        <f t="shared" si="140"/>
        <v>128.4445588073028</v>
      </c>
    </row>
    <row r="140" spans="3:21" outlineLevel="1">
      <c r="C140" s="1" t="s">
        <v>114</v>
      </c>
      <c r="F140" s="1">
        <f>F108</f>
        <v>19.219000000000001</v>
      </c>
      <c r="G140" s="1">
        <f>G108</f>
        <v>14.954000000000001</v>
      </c>
      <c r="H140" s="1">
        <f>H108</f>
        <v>10.619</v>
      </c>
      <c r="I140" s="1">
        <f>I108</f>
        <v>51.816000000000003</v>
      </c>
      <c r="J140" s="1">
        <f>J108</f>
        <v>111.864</v>
      </c>
      <c r="K140" s="1">
        <f>K139</f>
        <v>118.34334275127375</v>
      </c>
      <c r="L140" s="1">
        <f>L139</f>
        <v>122.30189905583359</v>
      </c>
      <c r="M140" s="1">
        <f t="shared" ref="M140:U140" si="141">M139</f>
        <v>124.72038016077127</v>
      </c>
      <c r="N140" s="1">
        <f t="shared" si="141"/>
        <v>126.19795188261418</v>
      </c>
      <c r="O140" s="1">
        <f t="shared" si="141"/>
        <v>127.1006747481071</v>
      </c>
      <c r="P140" s="1">
        <f t="shared" si="141"/>
        <v>127.6521935406212</v>
      </c>
      <c r="Q140" s="1">
        <f t="shared" si="141"/>
        <v>127.98914410443581</v>
      </c>
      <c r="R140" s="1">
        <f t="shared" si="141"/>
        <v>128.19500414764019</v>
      </c>
      <c r="S140" s="1">
        <f t="shared" si="141"/>
        <v>128.32077439983493</v>
      </c>
      <c r="T140" s="1">
        <f t="shared" si="141"/>
        <v>128.39761377133655</v>
      </c>
      <c r="U140" s="1">
        <f t="shared" si="141"/>
        <v>128.4445588073028</v>
      </c>
    </row>
    <row r="141" spans="3:21" s="26" customFormat="1" outlineLevel="1">
      <c r="C141" s="26" t="s">
        <v>115</v>
      </c>
      <c r="F141" s="26">
        <f t="shared" ref="F141:I141" si="142">F140-F139</f>
        <v>2.699999999999747E-2</v>
      </c>
      <c r="G141" s="26">
        <f t="shared" si="142"/>
        <v>3.2000000000000028E-2</v>
      </c>
      <c r="H141" s="26">
        <f t="shared" si="142"/>
        <v>-4.6000000000001151E-2</v>
      </c>
      <c r="I141" s="26">
        <f t="shared" si="142"/>
        <v>0.12200000000000699</v>
      </c>
      <c r="J141" s="26">
        <f>J140-J139</f>
        <v>17.088999999999999</v>
      </c>
    </row>
    <row r="143" spans="3:21" s="21" customFormat="1">
      <c r="C143" s="21" t="s">
        <v>119</v>
      </c>
    </row>
    <row r="144" spans="3:21" outlineLevel="1">
      <c r="C144" s="1" t="s">
        <v>107</v>
      </c>
      <c r="F144" s="2"/>
      <c r="J144" s="2">
        <v>3414.5810000000001</v>
      </c>
      <c r="K144" s="1">
        <f>J150</f>
        <v>4755.8389999999999</v>
      </c>
      <c r="L144" s="1">
        <f t="shared" ref="L144:U144" si="143">K150</f>
        <v>6613.1991666666663</v>
      </c>
      <c r="M144" s="1">
        <f t="shared" si="143"/>
        <v>7510.9993055555542</v>
      </c>
      <c r="N144" s="1">
        <f t="shared" si="143"/>
        <v>8259.1660879629617</v>
      </c>
      <c r="O144" s="1">
        <f t="shared" si="143"/>
        <v>8382.6384066358005</v>
      </c>
      <c r="P144" s="1">
        <f t="shared" si="143"/>
        <v>8485.5320055298344</v>
      </c>
      <c r="Q144" s="1">
        <f t="shared" si="143"/>
        <v>8571.2766712748617</v>
      </c>
      <c r="R144" s="1">
        <f t="shared" si="143"/>
        <v>8642.7305593957171</v>
      </c>
      <c r="S144" s="1">
        <f t="shared" si="143"/>
        <v>8202.275466163097</v>
      </c>
      <c r="T144" s="1">
        <f t="shared" si="143"/>
        <v>7835.2295551359139</v>
      </c>
      <c r="U144" s="1">
        <f t="shared" si="143"/>
        <v>7529.3579626132605</v>
      </c>
    </row>
    <row r="145" spans="2:31" outlineLevel="1">
      <c r="C145" s="1" t="s">
        <v>120</v>
      </c>
      <c r="J145" s="2">
        <v>2010.672</v>
      </c>
      <c r="K145" s="1">
        <f>K146*K301</f>
        <v>2650</v>
      </c>
      <c r="L145" s="1">
        <f>L146*L301</f>
        <v>2000</v>
      </c>
      <c r="M145" s="1">
        <f>M146*M301</f>
        <v>2000</v>
      </c>
      <c r="N145" s="1">
        <f>N146*N301</f>
        <v>1500</v>
      </c>
      <c r="O145" s="1">
        <f>O146*O301</f>
        <v>1500</v>
      </c>
      <c r="P145" s="1">
        <f>P146*P301</f>
        <v>1500</v>
      </c>
      <c r="Q145" s="1">
        <f>Q146*Q301</f>
        <v>1500</v>
      </c>
      <c r="R145" s="1">
        <f>R146*R301</f>
        <v>1000</v>
      </c>
      <c r="S145" s="1">
        <f>S146*S301</f>
        <v>1000</v>
      </c>
      <c r="T145" s="1">
        <f>T146*T301</f>
        <v>1000</v>
      </c>
      <c r="U145" s="1">
        <f>U146*U301</f>
        <v>1000</v>
      </c>
    </row>
    <row r="146" spans="2:31" s="10" customFormat="1" outlineLevel="1">
      <c r="D146" s="10" t="s">
        <v>121</v>
      </c>
      <c r="J146" s="15">
        <f>J145/J301</f>
        <v>6.6578543046357614</v>
      </c>
      <c r="K146" s="16">
        <v>5</v>
      </c>
      <c r="L146" s="16">
        <f t="shared" ref="L146:U146" si="144">K146</f>
        <v>5</v>
      </c>
      <c r="M146" s="16">
        <f t="shared" si="144"/>
        <v>5</v>
      </c>
      <c r="N146" s="16">
        <f t="shared" si="144"/>
        <v>5</v>
      </c>
      <c r="O146" s="16">
        <f t="shared" si="144"/>
        <v>5</v>
      </c>
      <c r="P146" s="16">
        <f t="shared" si="144"/>
        <v>5</v>
      </c>
      <c r="Q146" s="16">
        <f t="shared" si="144"/>
        <v>5</v>
      </c>
      <c r="R146" s="16">
        <f t="shared" si="144"/>
        <v>5</v>
      </c>
      <c r="S146" s="16">
        <f t="shared" si="144"/>
        <v>5</v>
      </c>
      <c r="T146" s="16">
        <f t="shared" si="144"/>
        <v>5</v>
      </c>
      <c r="U146" s="16">
        <f t="shared" si="144"/>
        <v>5</v>
      </c>
    </row>
    <row r="147" spans="2:31" outlineLevel="1">
      <c r="C147" s="1" t="s">
        <v>52</v>
      </c>
      <c r="F147" s="22"/>
      <c r="G147" s="22"/>
      <c r="H147" s="22"/>
      <c r="I147" s="22"/>
      <c r="J147" s="22">
        <f>-J231</f>
        <v>-638.048</v>
      </c>
      <c r="K147" s="1">
        <f>K144/K148</f>
        <v>-792.63983333333329</v>
      </c>
      <c r="L147" s="1">
        <f t="shared" ref="L147:U147" si="145">L144/L148</f>
        <v>-1102.199861111111</v>
      </c>
      <c r="M147" s="1">
        <f t="shared" si="145"/>
        <v>-1251.8332175925923</v>
      </c>
      <c r="N147" s="1">
        <f t="shared" si="145"/>
        <v>-1376.5276813271603</v>
      </c>
      <c r="O147" s="1">
        <f t="shared" si="145"/>
        <v>-1397.1064011059668</v>
      </c>
      <c r="P147" s="1">
        <f t="shared" si="145"/>
        <v>-1414.2553342549725</v>
      </c>
      <c r="Q147" s="1">
        <f t="shared" si="145"/>
        <v>-1428.5461118791436</v>
      </c>
      <c r="R147" s="1">
        <f t="shared" si="145"/>
        <v>-1440.4550932326194</v>
      </c>
      <c r="S147" s="1">
        <f t="shared" si="145"/>
        <v>-1367.0459110271829</v>
      </c>
      <c r="T147" s="1">
        <f t="shared" si="145"/>
        <v>-1305.8715925226522</v>
      </c>
      <c r="U147" s="1">
        <f t="shared" si="145"/>
        <v>-1254.8929937688767</v>
      </c>
    </row>
    <row r="148" spans="2:31" s="23" customFormat="1" outlineLevel="1">
      <c r="C148" s="23" t="s">
        <v>118</v>
      </c>
      <c r="F148" s="24"/>
      <c r="G148" s="24"/>
      <c r="H148" s="24"/>
      <c r="I148" s="24"/>
      <c r="J148" s="24">
        <f>J144/J147</f>
        <v>-5.3516052083855765</v>
      </c>
      <c r="K148" s="25">
        <v>-6</v>
      </c>
      <c r="L148" s="25">
        <f t="shared" ref="L148:U148" si="146">K148</f>
        <v>-6</v>
      </c>
      <c r="M148" s="25">
        <f t="shared" si="146"/>
        <v>-6</v>
      </c>
      <c r="N148" s="25">
        <f t="shared" si="146"/>
        <v>-6</v>
      </c>
      <c r="O148" s="25">
        <f t="shared" si="146"/>
        <v>-6</v>
      </c>
      <c r="P148" s="25">
        <f t="shared" si="146"/>
        <v>-6</v>
      </c>
      <c r="Q148" s="25">
        <f t="shared" si="146"/>
        <v>-6</v>
      </c>
      <c r="R148" s="25">
        <f t="shared" si="146"/>
        <v>-6</v>
      </c>
      <c r="S148" s="25">
        <f t="shared" si="146"/>
        <v>-6</v>
      </c>
      <c r="T148" s="25">
        <f t="shared" si="146"/>
        <v>-6</v>
      </c>
      <c r="U148" s="25">
        <f t="shared" si="146"/>
        <v>-6</v>
      </c>
    </row>
    <row r="149" spans="2:31" outlineLevel="1">
      <c r="C149" s="1" t="s">
        <v>113</v>
      </c>
      <c r="J149" s="1">
        <f>J144+J145+J147</f>
        <v>4787.2050000000008</v>
      </c>
      <c r="K149" s="1">
        <f>K144+K145+K147</f>
        <v>6613.1991666666663</v>
      </c>
      <c r="L149" s="1">
        <f t="shared" ref="L149:U149" si="147">L144+L145+L147</f>
        <v>7510.9993055555542</v>
      </c>
      <c r="M149" s="1">
        <f t="shared" si="147"/>
        <v>8259.1660879629617</v>
      </c>
      <c r="N149" s="1">
        <f t="shared" si="147"/>
        <v>8382.6384066358005</v>
      </c>
      <c r="O149" s="1">
        <f t="shared" si="147"/>
        <v>8485.5320055298344</v>
      </c>
      <c r="P149" s="1">
        <f t="shared" si="147"/>
        <v>8571.2766712748617</v>
      </c>
      <c r="Q149" s="1">
        <f t="shared" si="147"/>
        <v>8642.7305593957171</v>
      </c>
      <c r="R149" s="1">
        <f t="shared" si="147"/>
        <v>8202.275466163097</v>
      </c>
      <c r="S149" s="1">
        <f t="shared" si="147"/>
        <v>7835.2295551359139</v>
      </c>
      <c r="T149" s="1">
        <f t="shared" si="147"/>
        <v>7529.3579626132605</v>
      </c>
      <c r="U149" s="1">
        <f t="shared" si="147"/>
        <v>7274.4649688443824</v>
      </c>
    </row>
    <row r="150" spans="2:31" outlineLevel="1">
      <c r="C150" s="1" t="s">
        <v>114</v>
      </c>
      <c r="F150" s="1">
        <f>F106</f>
        <v>0</v>
      </c>
      <c r="G150" s="1">
        <f>G106</f>
        <v>0</v>
      </c>
      <c r="H150" s="1">
        <f>H106</f>
        <v>0</v>
      </c>
      <c r="I150" s="1">
        <f>I106</f>
        <v>0</v>
      </c>
      <c r="J150" s="1">
        <f>J106</f>
        <v>4755.8389999999999</v>
      </c>
      <c r="K150" s="1">
        <f>K149</f>
        <v>6613.1991666666663</v>
      </c>
      <c r="L150" s="1">
        <f t="shared" ref="L150:U150" si="148">L149</f>
        <v>7510.9993055555542</v>
      </c>
      <c r="M150" s="1">
        <f t="shared" si="148"/>
        <v>8259.1660879629617</v>
      </c>
      <c r="N150" s="1">
        <f t="shared" si="148"/>
        <v>8382.6384066358005</v>
      </c>
      <c r="O150" s="1">
        <f t="shared" si="148"/>
        <v>8485.5320055298344</v>
      </c>
      <c r="P150" s="1">
        <f t="shared" si="148"/>
        <v>8571.2766712748617</v>
      </c>
      <c r="Q150" s="1">
        <f t="shared" si="148"/>
        <v>8642.7305593957171</v>
      </c>
      <c r="R150" s="1">
        <f t="shared" si="148"/>
        <v>8202.275466163097</v>
      </c>
      <c r="S150" s="1">
        <f t="shared" si="148"/>
        <v>7835.2295551359139</v>
      </c>
      <c r="T150" s="1">
        <f t="shared" si="148"/>
        <v>7529.3579626132605</v>
      </c>
      <c r="U150" s="1">
        <f t="shared" si="148"/>
        <v>7274.4649688443824</v>
      </c>
    </row>
    <row r="151" spans="2:31" s="26" customFormat="1" outlineLevel="1">
      <c r="C151" s="26" t="s">
        <v>115</v>
      </c>
      <c r="J151" s="26">
        <f>J150-J149</f>
        <v>-31.366000000000895</v>
      </c>
    </row>
    <row r="153" spans="2:31" s="21" customFormat="1">
      <c r="C153" s="21" t="s">
        <v>122</v>
      </c>
      <c r="F153" s="21">
        <f t="shared" ref="F153:I153" si="149">F180+F187</f>
        <v>0</v>
      </c>
      <c r="G153" s="21">
        <f t="shared" si="149"/>
        <v>0</v>
      </c>
      <c r="H153" s="21">
        <f t="shared" si="149"/>
        <v>0</v>
      </c>
      <c r="I153" s="21">
        <f t="shared" si="149"/>
        <v>0</v>
      </c>
      <c r="J153" s="21">
        <f>J180+J187</f>
        <v>4876.1630000000005</v>
      </c>
      <c r="K153" s="21">
        <f>K154*K150</f>
        <v>6613.1991666666663</v>
      </c>
      <c r="L153" s="21">
        <f t="shared" ref="L153:U153" si="150">L154*L150</f>
        <v>7510.9993055555542</v>
      </c>
      <c r="M153" s="21">
        <f t="shared" si="150"/>
        <v>8259.1660879629617</v>
      </c>
      <c r="N153" s="21">
        <f t="shared" si="150"/>
        <v>8382.6384066358005</v>
      </c>
      <c r="O153" s="21">
        <f t="shared" si="150"/>
        <v>8485.5320055298344</v>
      </c>
      <c r="P153" s="21">
        <f t="shared" si="150"/>
        <v>8571.2766712748617</v>
      </c>
      <c r="Q153" s="21">
        <f t="shared" si="150"/>
        <v>8642.7305593957171</v>
      </c>
      <c r="R153" s="21">
        <f t="shared" si="150"/>
        <v>8202.275466163097</v>
      </c>
      <c r="S153" s="21">
        <f t="shared" si="150"/>
        <v>7835.2295551359139</v>
      </c>
      <c r="T153" s="21">
        <f t="shared" si="150"/>
        <v>7529.3579626132605</v>
      </c>
      <c r="U153" s="21">
        <f t="shared" si="150"/>
        <v>7274.4649688443824</v>
      </c>
    </row>
    <row r="154" spans="2:31" s="8" customFormat="1">
      <c r="D154" s="8" t="s">
        <v>123</v>
      </c>
      <c r="J154" s="8">
        <f>J153/J150</f>
        <v>1.0253002677340424</v>
      </c>
      <c r="K154" s="9">
        <v>1</v>
      </c>
      <c r="L154" s="9">
        <v>1</v>
      </c>
      <c r="M154" s="9">
        <v>1</v>
      </c>
      <c r="N154" s="9">
        <v>1</v>
      </c>
      <c r="O154" s="9">
        <v>1</v>
      </c>
      <c r="P154" s="9">
        <v>1</v>
      </c>
      <c r="Q154" s="9">
        <v>1</v>
      </c>
      <c r="R154" s="9">
        <v>1</v>
      </c>
      <c r="S154" s="9">
        <v>1</v>
      </c>
      <c r="T154" s="9">
        <v>1</v>
      </c>
      <c r="U154" s="9">
        <v>1</v>
      </c>
    </row>
    <row r="156" spans="2:31" s="6" customFormat="1">
      <c r="B156" s="6" t="s">
        <v>124</v>
      </c>
      <c r="F156" s="6">
        <f t="shared" ref="F156:H156" si="151">F158+F159+F163+F164+F165+F166+F167+F168</f>
        <v>1184.0619999999999</v>
      </c>
      <c r="G156" s="6">
        <f t="shared" si="151"/>
        <v>1256.6749999999997</v>
      </c>
      <c r="H156" s="6">
        <f t="shared" si="151"/>
        <v>1461.6939999999997</v>
      </c>
      <c r="I156" s="6">
        <f>I158+I159+I163+I164+I165+I166+I167+I168</f>
        <v>5735.9859999999999</v>
      </c>
      <c r="J156" s="6">
        <f>J158+J159+J163+J164+J165+J166+J167+J168</f>
        <v>7200.2909999999993</v>
      </c>
      <c r="K156" s="6">
        <f>K158+K159+K163+K164+K165+K166+K167+K168</f>
        <v>6593.2560000000003</v>
      </c>
      <c r="X156" s="6">
        <f t="shared" ref="X156" si="152">X158+X159+X163+X164+X165+X166+X167+X168</f>
        <v>0</v>
      </c>
      <c r="Y156" s="6">
        <f>Y158+Y159+Y163+Y164+Y165+Y166+Y167+Y168</f>
        <v>1461.6939999999997</v>
      </c>
      <c r="Z156" s="6">
        <f>Z158+Z159+Z163+Z164+Z165+Z166+Z167+Z168</f>
        <v>1482.46</v>
      </c>
      <c r="AA156" s="6">
        <f>AA158+AA159+AA163+AA164+AA165+AA166+AA167+AA168</f>
        <v>5735.9859999999999</v>
      </c>
      <c r="AB156" s="6">
        <f>AB158+AB159+AB163+AB164+AB165+AB166+AB167+AB168</f>
        <v>6887.9570000000003</v>
      </c>
      <c r="AC156" s="6">
        <f>AC158+AC159+AC163+AC164+AC165+AC166+AC167+AC168</f>
        <v>7200.2909999999993</v>
      </c>
      <c r="AD156" s="6">
        <f t="shared" ref="AD156" si="153">AD158+AD159+AD163+AD164+AD165+AD166+AD167+AD168</f>
        <v>7446.8329999999996</v>
      </c>
      <c r="AE156" s="6">
        <f>AE158+AE159+AE163+AE164+AE165+AE166+AE167+AE168</f>
        <v>6593.2560000000003</v>
      </c>
    </row>
    <row r="158" spans="2:31">
      <c r="C158" s="20" t="s">
        <v>125</v>
      </c>
      <c r="F158" s="2">
        <v>41.064999999999998</v>
      </c>
      <c r="G158" s="2">
        <v>49.707000000000001</v>
      </c>
      <c r="H158" s="2">
        <v>95.117999999999995</v>
      </c>
      <c r="I158" s="2">
        <v>457.12400000000002</v>
      </c>
      <c r="J158" s="2">
        <v>1199.6659999999999</v>
      </c>
      <c r="K158" s="2">
        <v>1154.2149999999999</v>
      </c>
      <c r="L158" s="1">
        <f>L205</f>
        <v>2580.8766348137515</v>
      </c>
      <c r="M158" s="1">
        <f t="shared" ref="M158:U158" si="154">M205</f>
        <v>3411.9325649648317</v>
      </c>
      <c r="N158" s="1">
        <f t="shared" si="154"/>
        <v>4014.354533836487</v>
      </c>
      <c r="O158" s="1">
        <f t="shared" si="154"/>
        <v>4538.4579980346844</v>
      </c>
      <c r="P158" s="1">
        <f t="shared" si="154"/>
        <v>5098.3937254156035</v>
      </c>
      <c r="Q158" s="1">
        <f t="shared" si="154"/>
        <v>5707.7343126609649</v>
      </c>
      <c r="R158" s="1">
        <f t="shared" si="154"/>
        <v>6271.4924360369678</v>
      </c>
      <c r="S158" s="1">
        <f t="shared" si="154"/>
        <v>6771.0583106087415</v>
      </c>
      <c r="T158" s="1">
        <f t="shared" si="154"/>
        <v>7318.7315000863937</v>
      </c>
      <c r="U158" s="1">
        <f t="shared" si="154"/>
        <v>7897.5453085703803</v>
      </c>
      <c r="X158" s="2"/>
      <c r="Y158" s="2">
        <v>95.117999999999995</v>
      </c>
      <c r="Z158" s="2">
        <v>325.43900000000002</v>
      </c>
      <c r="AA158" s="2">
        <v>457.12400000000002</v>
      </c>
      <c r="AB158" s="2">
        <v>458.13799999999998</v>
      </c>
      <c r="AC158" s="2">
        <v>1199.6659999999999</v>
      </c>
      <c r="AD158" s="2">
        <v>907.90800000000002</v>
      </c>
      <c r="AE158" s="2">
        <v>1154.2149999999999</v>
      </c>
    </row>
    <row r="159" spans="2:31">
      <c r="C159" s="20" t="s">
        <v>126</v>
      </c>
      <c r="F159" s="2">
        <v>175.47300000000001</v>
      </c>
      <c r="G159" s="2">
        <v>246.678</v>
      </c>
      <c r="H159" s="2">
        <v>497.61599999999999</v>
      </c>
      <c r="I159" s="2">
        <v>845.11800000000005</v>
      </c>
      <c r="J159" s="2">
        <v>1615.5509999999999</v>
      </c>
      <c r="K159" s="2">
        <v>2205.415</v>
      </c>
      <c r="L159" s="1">
        <f>L204</f>
        <v>4931.4070979564203</v>
      </c>
      <c r="M159" s="1">
        <f t="shared" ref="M159:U159" si="155">M204</f>
        <v>6519.3462723685916</v>
      </c>
      <c r="N159" s="1">
        <f t="shared" si="155"/>
        <v>7670.4233650065162</v>
      </c>
      <c r="O159" s="1">
        <f t="shared" si="155"/>
        <v>8671.8534638136425</v>
      </c>
      <c r="P159" s="1">
        <f t="shared" si="155"/>
        <v>9741.7500187897876</v>
      </c>
      <c r="Q159" s="1">
        <f t="shared" si="155"/>
        <v>10906.046853625348</v>
      </c>
      <c r="R159" s="1">
        <f t="shared" si="155"/>
        <v>11983.247047406652</v>
      </c>
      <c r="S159" s="1">
        <f t="shared" si="155"/>
        <v>12937.791974711105</v>
      </c>
      <c r="T159" s="1">
        <f t="shared" si="155"/>
        <v>13984.25789931948</v>
      </c>
      <c r="U159" s="1">
        <f t="shared" si="155"/>
        <v>15090.225726316799</v>
      </c>
      <c r="X159" s="2"/>
      <c r="Y159" s="2">
        <v>497.61599999999999</v>
      </c>
      <c r="Z159" s="2">
        <v>568.53800000000001</v>
      </c>
      <c r="AA159" s="2">
        <v>845.11800000000005</v>
      </c>
      <c r="AB159" s="2">
        <v>1353.2529999999999</v>
      </c>
      <c r="AC159" s="2">
        <v>1615.5509999999999</v>
      </c>
      <c r="AD159" s="2">
        <v>1603.4110000000001</v>
      </c>
      <c r="AE159" s="2">
        <v>2205.415</v>
      </c>
    </row>
    <row r="160" spans="2:31" s="19" customFormat="1" outlineLevel="1">
      <c r="D160" s="19" t="s">
        <v>127</v>
      </c>
      <c r="F160" s="19">
        <v>29.587</v>
      </c>
      <c r="G160" s="19">
        <v>63.643999999999998</v>
      </c>
      <c r="H160" s="19">
        <v>172.95099999999999</v>
      </c>
      <c r="I160" s="19">
        <v>150.09299999999999</v>
      </c>
      <c r="J160" s="19">
        <v>203.571</v>
      </c>
    </row>
    <row r="161" spans="2:31" s="19" customFormat="1" outlineLevel="1">
      <c r="D161" s="19" t="s">
        <v>128</v>
      </c>
      <c r="F161" s="19">
        <v>29.635000000000002</v>
      </c>
      <c r="G161" s="19">
        <v>16.510999999999999</v>
      </c>
      <c r="H161" s="19">
        <v>48.610999999999997</v>
      </c>
      <c r="I161" s="19">
        <v>267.04000000000002</v>
      </c>
      <c r="J161" s="19">
        <v>554.23599999999999</v>
      </c>
    </row>
    <row r="162" spans="2:31" s="19" customFormat="1" outlineLevel="1">
      <c r="D162" s="19" t="s">
        <v>129</v>
      </c>
      <c r="F162" s="19">
        <f t="shared" ref="F162:I162" si="156">F159-F160-F161</f>
        <v>116.25100000000002</v>
      </c>
      <c r="G162" s="19">
        <f t="shared" si="156"/>
        <v>166.523</v>
      </c>
      <c r="H162" s="19">
        <f t="shared" si="156"/>
        <v>276.05399999999997</v>
      </c>
      <c r="I162" s="19">
        <f t="shared" si="156"/>
        <v>427.98500000000007</v>
      </c>
      <c r="J162" s="19">
        <f>J159-J160-J161</f>
        <v>857.74400000000003</v>
      </c>
    </row>
    <row r="163" spans="2:31">
      <c r="C163" s="20" t="s">
        <v>130</v>
      </c>
      <c r="F163" s="2">
        <v>748.33600000000001</v>
      </c>
      <c r="G163" s="2">
        <v>502.24200000000002</v>
      </c>
      <c r="H163" s="2">
        <v>444.21300000000002</v>
      </c>
      <c r="I163" s="2">
        <v>201.261</v>
      </c>
      <c r="J163" s="2">
        <v>300.97300000000001</v>
      </c>
      <c r="K163" s="2">
        <v>267.70800000000003</v>
      </c>
      <c r="L163" s="3">
        <f>K163</f>
        <v>267.70800000000003</v>
      </c>
      <c r="M163" s="3">
        <f t="shared" ref="M163:U167" si="157">L163</f>
        <v>267.70800000000003</v>
      </c>
      <c r="N163" s="3">
        <f t="shared" si="157"/>
        <v>267.70800000000003</v>
      </c>
      <c r="O163" s="3">
        <f t="shared" si="157"/>
        <v>267.70800000000003</v>
      </c>
      <c r="P163" s="3">
        <f t="shared" si="157"/>
        <v>267.70800000000003</v>
      </c>
      <c r="Q163" s="3">
        <f t="shared" si="157"/>
        <v>267.70800000000003</v>
      </c>
      <c r="R163" s="3">
        <f t="shared" si="157"/>
        <v>267.70800000000003</v>
      </c>
      <c r="S163" s="3">
        <f t="shared" si="157"/>
        <v>267.70800000000003</v>
      </c>
      <c r="T163" s="3">
        <f t="shared" si="157"/>
        <v>267.70800000000003</v>
      </c>
      <c r="U163" s="3">
        <f t="shared" si="157"/>
        <v>267.70800000000003</v>
      </c>
      <c r="X163" s="2"/>
      <c r="Y163" s="2">
        <v>444.21300000000002</v>
      </c>
      <c r="Z163" s="2">
        <v>43.558999999999997</v>
      </c>
      <c r="AA163" s="2">
        <v>201.261</v>
      </c>
      <c r="AB163" s="2">
        <v>250.92500000000001</v>
      </c>
      <c r="AC163" s="2">
        <v>300.97300000000001</v>
      </c>
      <c r="AD163" s="2">
        <v>253.57499999999999</v>
      </c>
      <c r="AE163" s="2">
        <v>267.70800000000003</v>
      </c>
    </row>
    <row r="164" spans="2:31">
      <c r="C164" s="1" t="s">
        <v>98</v>
      </c>
      <c r="F164" s="2">
        <v>52.954000000000001</v>
      </c>
      <c r="G164" s="2">
        <v>7.3230000000000004</v>
      </c>
      <c r="H164" s="2">
        <v>78.856999999999999</v>
      </c>
      <c r="I164" s="2">
        <v>1.653</v>
      </c>
      <c r="J164" s="2">
        <v>0</v>
      </c>
      <c r="K164" s="2">
        <v>4</v>
      </c>
      <c r="L164" s="1">
        <f>K164</f>
        <v>4</v>
      </c>
      <c r="M164" s="1">
        <f t="shared" si="157"/>
        <v>4</v>
      </c>
      <c r="N164" s="1">
        <f t="shared" si="157"/>
        <v>4</v>
      </c>
      <c r="O164" s="1">
        <f t="shared" si="157"/>
        <v>4</v>
      </c>
      <c r="P164" s="1">
        <f t="shared" si="157"/>
        <v>4</v>
      </c>
      <c r="Q164" s="1">
        <f t="shared" si="157"/>
        <v>4</v>
      </c>
      <c r="R164" s="1">
        <f t="shared" si="157"/>
        <v>4</v>
      </c>
      <c r="S164" s="1">
        <f t="shared" si="157"/>
        <v>4</v>
      </c>
      <c r="T164" s="1">
        <f t="shared" si="157"/>
        <v>4</v>
      </c>
      <c r="U164" s="1">
        <f t="shared" si="157"/>
        <v>4</v>
      </c>
      <c r="X164" s="2"/>
      <c r="Y164" s="2">
        <v>78.856999999999999</v>
      </c>
      <c r="Z164" s="2">
        <v>12.673999999999999</v>
      </c>
      <c r="AA164" s="2">
        <v>1.653</v>
      </c>
      <c r="AB164" s="2">
        <v>22.023</v>
      </c>
      <c r="AC164" s="2">
        <v>0</v>
      </c>
      <c r="AD164" s="2">
        <v>1301.855</v>
      </c>
      <c r="AE164" s="2">
        <v>4</v>
      </c>
    </row>
    <row r="165" spans="2:31">
      <c r="C165" s="1" t="s">
        <v>102</v>
      </c>
      <c r="F165" s="2">
        <v>0</v>
      </c>
      <c r="G165" s="2">
        <v>0</v>
      </c>
      <c r="H165" s="2">
        <v>0</v>
      </c>
      <c r="I165" s="2">
        <v>103.381</v>
      </c>
      <c r="J165" s="2">
        <v>1804.0350000000001</v>
      </c>
      <c r="K165" s="2">
        <v>0</v>
      </c>
      <c r="L165" s="1">
        <f>K165</f>
        <v>0</v>
      </c>
      <c r="M165" s="1">
        <f t="shared" si="157"/>
        <v>0</v>
      </c>
      <c r="N165" s="1">
        <f t="shared" si="157"/>
        <v>0</v>
      </c>
      <c r="O165" s="1">
        <f t="shared" si="157"/>
        <v>0</v>
      </c>
      <c r="P165" s="1">
        <f t="shared" si="157"/>
        <v>0</v>
      </c>
      <c r="Q165" s="1">
        <f t="shared" si="157"/>
        <v>0</v>
      </c>
      <c r="R165" s="1">
        <f t="shared" si="157"/>
        <v>0</v>
      </c>
      <c r="S165" s="1">
        <f t="shared" si="157"/>
        <v>0</v>
      </c>
      <c r="T165" s="1">
        <f t="shared" si="157"/>
        <v>0</v>
      </c>
      <c r="U165" s="1">
        <f t="shared" si="157"/>
        <v>0</v>
      </c>
      <c r="X165" s="2"/>
      <c r="Y165" s="2">
        <v>0</v>
      </c>
      <c r="Z165" s="2">
        <v>0</v>
      </c>
      <c r="AA165" s="2">
        <v>103.381</v>
      </c>
      <c r="AB165" s="2">
        <v>1752.0730000000001</v>
      </c>
      <c r="AC165" s="2">
        <v>1804.0350000000001</v>
      </c>
      <c r="AD165" s="2">
        <v>1107.6869999999999</v>
      </c>
      <c r="AE165" s="2">
        <v>0</v>
      </c>
    </row>
    <row r="166" spans="2:31">
      <c r="C166" s="1" t="s">
        <v>100</v>
      </c>
      <c r="F166" s="2">
        <v>7</v>
      </c>
      <c r="G166" s="2">
        <v>7.6360000000000001</v>
      </c>
      <c r="H166" s="2">
        <v>16.201000000000001</v>
      </c>
      <c r="I166" s="2">
        <v>0.80700000000000005</v>
      </c>
      <c r="J166" s="2">
        <v>0</v>
      </c>
      <c r="K166" s="2">
        <v>23.259</v>
      </c>
      <c r="L166" s="1">
        <f>K166</f>
        <v>23.259</v>
      </c>
      <c r="M166" s="1">
        <f t="shared" si="157"/>
        <v>23.259</v>
      </c>
      <c r="N166" s="1">
        <f t="shared" si="157"/>
        <v>23.259</v>
      </c>
      <c r="O166" s="1">
        <f t="shared" si="157"/>
        <v>23.259</v>
      </c>
      <c r="P166" s="1">
        <f t="shared" si="157"/>
        <v>23.259</v>
      </c>
      <c r="Q166" s="1">
        <f t="shared" si="157"/>
        <v>23.259</v>
      </c>
      <c r="R166" s="1">
        <f t="shared" si="157"/>
        <v>23.259</v>
      </c>
      <c r="S166" s="1">
        <f t="shared" si="157"/>
        <v>23.259</v>
      </c>
      <c r="T166" s="1">
        <f t="shared" si="157"/>
        <v>23.259</v>
      </c>
      <c r="U166" s="1">
        <f t="shared" si="157"/>
        <v>23.259</v>
      </c>
      <c r="X166" s="2"/>
      <c r="Y166" s="2">
        <v>16.201000000000001</v>
      </c>
      <c r="Z166" s="2">
        <v>0</v>
      </c>
      <c r="AA166" s="2">
        <v>0.80700000000000005</v>
      </c>
      <c r="AB166" s="2">
        <v>0</v>
      </c>
      <c r="AC166" s="2">
        <v>0</v>
      </c>
      <c r="AD166" s="2">
        <v>2</v>
      </c>
      <c r="AE166" s="2">
        <v>23.259</v>
      </c>
    </row>
    <row r="167" spans="2:31">
      <c r="C167" s="1" t="s">
        <v>131</v>
      </c>
      <c r="F167" s="2">
        <v>1.639</v>
      </c>
      <c r="G167" s="2">
        <v>36.213000000000001</v>
      </c>
      <c r="H167" s="2">
        <v>47.656999999999996</v>
      </c>
      <c r="I167" s="2">
        <v>8.0190000000000001</v>
      </c>
      <c r="J167" s="2">
        <v>58.103999999999999</v>
      </c>
      <c r="K167" s="2">
        <v>17.791</v>
      </c>
      <c r="L167" s="1">
        <f>K167</f>
        <v>17.791</v>
      </c>
      <c r="M167" s="1">
        <f t="shared" si="157"/>
        <v>17.791</v>
      </c>
      <c r="N167" s="1">
        <f t="shared" si="157"/>
        <v>17.791</v>
      </c>
      <c r="O167" s="1">
        <f t="shared" si="157"/>
        <v>17.791</v>
      </c>
      <c r="P167" s="1">
        <f t="shared" si="157"/>
        <v>17.791</v>
      </c>
      <c r="Q167" s="1">
        <f t="shared" si="157"/>
        <v>17.791</v>
      </c>
      <c r="R167" s="1">
        <f t="shared" si="157"/>
        <v>17.791</v>
      </c>
      <c r="S167" s="1">
        <f t="shared" si="157"/>
        <v>17.791</v>
      </c>
      <c r="T167" s="1">
        <f t="shared" si="157"/>
        <v>17.791</v>
      </c>
      <c r="U167" s="1">
        <f t="shared" si="157"/>
        <v>17.791</v>
      </c>
      <c r="X167" s="2"/>
      <c r="Y167" s="2">
        <v>47.656999999999996</v>
      </c>
      <c r="Z167" s="2">
        <v>1.147</v>
      </c>
      <c r="AA167" s="2">
        <v>8.0190000000000001</v>
      </c>
      <c r="AB167" s="2">
        <v>48.841000000000001</v>
      </c>
      <c r="AC167" s="2">
        <v>58.103999999999999</v>
      </c>
      <c r="AD167" s="2">
        <v>22.736999999999998</v>
      </c>
      <c r="AE167" s="2">
        <v>17.791</v>
      </c>
    </row>
    <row r="168" spans="2:31">
      <c r="C168" s="1" t="s">
        <v>132</v>
      </c>
      <c r="F168" s="2">
        <v>157.595</v>
      </c>
      <c r="G168" s="2">
        <v>406.87599999999998</v>
      </c>
      <c r="H168" s="2">
        <v>282.03199999999998</v>
      </c>
      <c r="I168" s="2">
        <v>4118.6229999999996</v>
      </c>
      <c r="J168" s="2">
        <v>2221.962</v>
      </c>
      <c r="K168" s="2">
        <v>2920.8679999999999</v>
      </c>
      <c r="X168" s="2"/>
      <c r="Y168" s="2">
        <v>282.03199999999998</v>
      </c>
      <c r="Z168" s="2">
        <v>531.10299999999995</v>
      </c>
      <c r="AA168" s="2">
        <v>4118.6229999999996</v>
      </c>
      <c r="AB168" s="2">
        <v>3002.7040000000002</v>
      </c>
      <c r="AC168" s="2">
        <v>2221.962</v>
      </c>
      <c r="AD168" s="2">
        <v>2247.66</v>
      </c>
      <c r="AE168" s="2">
        <v>2920.8679999999999</v>
      </c>
    </row>
    <row r="170" spans="2:31" s="6" customFormat="1">
      <c r="B170" s="6" t="s">
        <v>133</v>
      </c>
      <c r="F170" s="6">
        <f t="shared" ref="F170:K170" si="158">F103+F156</f>
        <v>2406.6179999999999</v>
      </c>
      <c r="G170" s="6">
        <f t="shared" si="158"/>
        <v>2749.5229999999992</v>
      </c>
      <c r="H170" s="6">
        <f t="shared" si="158"/>
        <v>3735.8249999999998</v>
      </c>
      <c r="I170" s="6">
        <f t="shared" si="158"/>
        <v>11944.643</v>
      </c>
      <c r="J170" s="6">
        <f t="shared" si="158"/>
        <v>20613.932000000001</v>
      </c>
      <c r="K170" s="6">
        <f t="shared" si="158"/>
        <v>27527.144000000004</v>
      </c>
      <c r="X170" s="6">
        <f t="shared" ref="X170:AD170" si="159">X103+X156</f>
        <v>0</v>
      </c>
      <c r="Y170" s="6">
        <f t="shared" si="159"/>
        <v>3735.8249999999998</v>
      </c>
      <c r="Z170" s="6">
        <f t="shared" si="159"/>
        <v>4528.5310000000009</v>
      </c>
      <c r="AA170" s="6">
        <f t="shared" si="159"/>
        <v>11944.643</v>
      </c>
      <c r="AB170" s="6">
        <f t="shared" si="159"/>
        <v>16924.002</v>
      </c>
      <c r="AC170" s="6">
        <f t="shared" si="159"/>
        <v>20613.932000000001</v>
      </c>
      <c r="AD170" s="6">
        <f t="shared" si="159"/>
        <v>23036.42</v>
      </c>
      <c r="AE170" s="6">
        <f>AE103+AE156</f>
        <v>27527.144000000004</v>
      </c>
    </row>
    <row r="172" spans="2:31" s="6" customFormat="1">
      <c r="B172" s="6" t="s">
        <v>134</v>
      </c>
      <c r="F172" s="6">
        <f t="shared" ref="F172:I172" si="160">F174+F175+F176+F177+F178+F179+F180+F181</f>
        <v>1244.4189999999999</v>
      </c>
      <c r="G172" s="6">
        <f t="shared" si="160"/>
        <v>1642.318</v>
      </c>
      <c r="H172" s="6">
        <f t="shared" si="160"/>
        <v>2618.1370000000002</v>
      </c>
      <c r="I172" s="6">
        <f t="shared" si="160"/>
        <v>3305.9880000000003</v>
      </c>
      <c r="J172" s="6">
        <f>J174+J175+J176+J177+J178+J179+J180+J181</f>
        <v>5664.0709999999999</v>
      </c>
      <c r="K172" s="6">
        <f>K174+K175+K176+K177+K178+K179+K180+K181</f>
        <v>9867.9429999999993</v>
      </c>
      <c r="L172" s="6">
        <f t="shared" ref="L172:U172" si="161">L174+L175+L176+L177+L178+L179+L180+L181</f>
        <v>11830.012140147035</v>
      </c>
      <c r="M172" s="6">
        <f t="shared" si="161"/>
        <v>15397.531130760872</v>
      </c>
      <c r="N172" s="6">
        <f t="shared" si="161"/>
        <v>17493.072270655248</v>
      </c>
      <c r="O172" s="6">
        <f t="shared" si="161"/>
        <v>19541.025010001402</v>
      </c>
      <c r="P172" s="6">
        <f t="shared" si="161"/>
        <v>21725.126022367145</v>
      </c>
      <c r="Q172" s="6">
        <f t="shared" si="161"/>
        <v>24098.441659237022</v>
      </c>
      <c r="R172" s="6">
        <f t="shared" si="161"/>
        <v>26213.206539664672</v>
      </c>
      <c r="S172" s="6">
        <f t="shared" si="161"/>
        <v>28090.893315687124</v>
      </c>
      <c r="T172" s="6">
        <f t="shared" si="161"/>
        <v>30164.833975139016</v>
      </c>
      <c r="U172" s="6">
        <f t="shared" si="161"/>
        <v>32367.632711702303</v>
      </c>
      <c r="X172" s="6">
        <f t="shared" ref="X172:AA172" si="162">X174+X175+X176+X177+X178+X179+X180+X181</f>
        <v>0</v>
      </c>
      <c r="Y172" s="6">
        <f>Y174+Y175+Y176+Y177+Y178+Y179+Y180+Y181</f>
        <v>2618.1370000000002</v>
      </c>
      <c r="Z172" s="6">
        <f t="shared" si="162"/>
        <v>3314.5149999999999</v>
      </c>
      <c r="AA172" s="6">
        <f t="shared" si="162"/>
        <v>3305.9880000000003</v>
      </c>
      <c r="AB172" s="6">
        <f>AB174+AB175+AB176+AB177+AB178+AB179+AB180+AB181</f>
        <v>3923.4640000000004</v>
      </c>
      <c r="AC172" s="6">
        <f>AC174+AC175+AC176+AC177+AC178+AC179+AC180+AC181</f>
        <v>5664.0709999999999</v>
      </c>
      <c r="AD172" s="6">
        <f t="shared" ref="AD172" si="163">AD174+AD175+AD176+AD177+AD178+AD179+AD180+AD181</f>
        <v>8546.5639999999985</v>
      </c>
      <c r="AE172" s="6">
        <f>AE174+AE175+AE176+AE177+AE178+AE179+AE180+AE181</f>
        <v>9867.9429999999993</v>
      </c>
    </row>
    <row r="174" spans="2:31">
      <c r="C174" s="20" t="s">
        <v>135</v>
      </c>
      <c r="F174" s="2">
        <v>100.27200000000001</v>
      </c>
      <c r="G174" s="2">
        <v>119.768</v>
      </c>
      <c r="H174" s="2">
        <v>168.71899999999999</v>
      </c>
      <c r="I174" s="2">
        <v>729.32799999999997</v>
      </c>
      <c r="J174" s="2">
        <v>1406.4079999999999</v>
      </c>
      <c r="K174" s="2">
        <v>1582.5709999999999</v>
      </c>
      <c r="L174" s="1">
        <f>-L207</f>
        <v>3538.6999101847</v>
      </c>
      <c r="M174" s="1">
        <f t="shared" ref="M174:U175" si="164">-M207</f>
        <v>4678.1800022257194</v>
      </c>
      <c r="N174" s="1">
        <f t="shared" si="164"/>
        <v>5504.1747585745661</v>
      </c>
      <c r="O174" s="1">
        <f t="shared" si="164"/>
        <v>6222.7851937531123</v>
      </c>
      <c r="P174" s="1">
        <f t="shared" si="164"/>
        <v>6990.5260773986629</v>
      </c>
      <c r="Q174" s="1">
        <f t="shared" si="164"/>
        <v>7826.0071121257088</v>
      </c>
      <c r="R174" s="1">
        <f t="shared" si="164"/>
        <v>8598.988971717974</v>
      </c>
      <c r="S174" s="1">
        <f t="shared" si="164"/>
        <v>9283.9553477284444</v>
      </c>
      <c r="T174" s="1">
        <f t="shared" si="164"/>
        <v>10034.882780784535</v>
      </c>
      <c r="U174" s="1">
        <f t="shared" si="164"/>
        <v>10828.507839986081</v>
      </c>
      <c r="X174" s="2"/>
      <c r="Y174" s="2">
        <v>168.71899999999999</v>
      </c>
      <c r="Z174" s="2">
        <v>411.56200000000001</v>
      </c>
      <c r="AA174" s="2">
        <v>729.32799999999997</v>
      </c>
      <c r="AB174" s="2">
        <v>909.822</v>
      </c>
      <c r="AC174" s="2">
        <v>1406.4079999999999</v>
      </c>
      <c r="AD174" s="2">
        <v>1206.818</v>
      </c>
      <c r="AE174" s="2">
        <v>1582.5709999999999</v>
      </c>
    </row>
    <row r="175" spans="2:31">
      <c r="C175" s="20" t="s">
        <v>136</v>
      </c>
      <c r="F175" s="2">
        <v>284.74299999999999</v>
      </c>
      <c r="G175" s="2">
        <v>363.97899999999998</v>
      </c>
      <c r="H175" s="2">
        <v>510.73500000000001</v>
      </c>
      <c r="I175" s="2">
        <v>906.46400000000006</v>
      </c>
      <c r="J175" s="2">
        <f>300+1276.989</f>
        <v>1576.989</v>
      </c>
      <c r="K175" s="2">
        <f>23.982+2224.784</f>
        <v>2248.7660000000001</v>
      </c>
      <c r="L175" s="1">
        <f>-L208</f>
        <v>5028.3418830664832</v>
      </c>
      <c r="M175" s="1">
        <f t="shared" si="164"/>
        <v>6647.4945711030487</v>
      </c>
      <c r="N175" s="1">
        <f t="shared" si="164"/>
        <v>7821.1979463421821</v>
      </c>
      <c r="O175" s="1">
        <f t="shared" si="164"/>
        <v>8842.3127739705906</v>
      </c>
      <c r="P175" s="1">
        <f t="shared" si="164"/>
        <v>9933.2398767369559</v>
      </c>
      <c r="Q175" s="1">
        <f t="shared" si="164"/>
        <v>11120.422849595047</v>
      </c>
      <c r="R175" s="1">
        <f t="shared" si="164"/>
        <v>12218.797156003959</v>
      </c>
      <c r="S175" s="1">
        <f t="shared" si="164"/>
        <v>13192.105208227564</v>
      </c>
      <c r="T175" s="1">
        <f t="shared" si="164"/>
        <v>14259.141113677502</v>
      </c>
      <c r="U175" s="1">
        <f t="shared" si="164"/>
        <v>15386.84852767689</v>
      </c>
      <c r="X175" s="2"/>
      <c r="Y175" s="2">
        <v>510.73500000000001</v>
      </c>
      <c r="Z175" s="2">
        <v>589.66499999999996</v>
      </c>
      <c r="AA175" s="2">
        <v>906.46400000000006</v>
      </c>
      <c r="AB175" s="2">
        <v>1208.489</v>
      </c>
      <c r="AC175" s="2">
        <f>300+1276.989</f>
        <v>1576.989</v>
      </c>
      <c r="AD175" s="2">
        <f>111.808+1633.912</f>
        <v>1745.72</v>
      </c>
      <c r="AE175" s="2">
        <f>23.982+2224.784</f>
        <v>2248.7660000000001</v>
      </c>
    </row>
    <row r="176" spans="2:31">
      <c r="C176" s="20" t="s">
        <v>137</v>
      </c>
      <c r="F176" s="2">
        <v>154.31899999999999</v>
      </c>
      <c r="G176" s="2">
        <v>212.505</v>
      </c>
      <c r="H176" s="2">
        <v>1202.588</v>
      </c>
      <c r="I176" s="2">
        <v>592.66300000000001</v>
      </c>
      <c r="J176" s="2">
        <v>1071.8050000000001</v>
      </c>
      <c r="K176" s="2">
        <v>387.072</v>
      </c>
      <c r="L176" s="3">
        <f>K176</f>
        <v>387.072</v>
      </c>
      <c r="M176" s="3">
        <f t="shared" ref="M176:U178" si="165">L176</f>
        <v>387.072</v>
      </c>
      <c r="N176" s="3">
        <f t="shared" si="165"/>
        <v>387.072</v>
      </c>
      <c r="O176" s="3">
        <f t="shared" si="165"/>
        <v>387.072</v>
      </c>
      <c r="P176" s="3">
        <f t="shared" si="165"/>
        <v>387.072</v>
      </c>
      <c r="Q176" s="3">
        <f t="shared" si="165"/>
        <v>387.072</v>
      </c>
      <c r="R176" s="3">
        <f t="shared" si="165"/>
        <v>387.072</v>
      </c>
      <c r="S176" s="3">
        <f t="shared" si="165"/>
        <v>387.072</v>
      </c>
      <c r="T176" s="3">
        <f t="shared" si="165"/>
        <v>387.072</v>
      </c>
      <c r="U176" s="3">
        <f t="shared" si="165"/>
        <v>387.072</v>
      </c>
      <c r="X176" s="2"/>
      <c r="Y176" s="2">
        <v>1202.588</v>
      </c>
      <c r="Z176" s="2">
        <v>651.18499999999995</v>
      </c>
      <c r="AA176" s="2">
        <v>592.66300000000001</v>
      </c>
      <c r="AB176" s="2">
        <v>370.48399999999998</v>
      </c>
      <c r="AC176" s="2">
        <v>1071.8050000000001</v>
      </c>
      <c r="AD176" s="2">
        <v>1119.067</v>
      </c>
      <c r="AE176" s="2">
        <v>387.072</v>
      </c>
    </row>
    <row r="177" spans="2:31">
      <c r="C177" s="1" t="s">
        <v>138</v>
      </c>
      <c r="F177" s="2">
        <v>0</v>
      </c>
      <c r="G177" s="2">
        <v>0</v>
      </c>
      <c r="H177" s="2">
        <v>0</v>
      </c>
      <c r="I177" s="2">
        <v>128.416</v>
      </c>
      <c r="J177" s="2">
        <v>3.8050000000000002</v>
      </c>
      <c r="K177" s="2">
        <v>3.8050000000000002</v>
      </c>
      <c r="L177" s="1">
        <f>K177</f>
        <v>3.8050000000000002</v>
      </c>
      <c r="M177" s="1">
        <f t="shared" si="165"/>
        <v>3.8050000000000002</v>
      </c>
      <c r="N177" s="1">
        <f t="shared" si="165"/>
        <v>3.8050000000000002</v>
      </c>
      <c r="O177" s="1">
        <f t="shared" si="165"/>
        <v>3.8050000000000002</v>
      </c>
      <c r="P177" s="1">
        <f t="shared" si="165"/>
        <v>3.8050000000000002</v>
      </c>
      <c r="Q177" s="1">
        <f t="shared" si="165"/>
        <v>3.8050000000000002</v>
      </c>
      <c r="R177" s="1">
        <f t="shared" si="165"/>
        <v>3.8050000000000002</v>
      </c>
      <c r="S177" s="1">
        <f t="shared" si="165"/>
        <v>3.8050000000000002</v>
      </c>
      <c r="T177" s="1">
        <f t="shared" si="165"/>
        <v>3.8050000000000002</v>
      </c>
      <c r="U177" s="1">
        <f t="shared" si="165"/>
        <v>3.8050000000000002</v>
      </c>
      <c r="X177" s="2"/>
      <c r="Y177" s="2">
        <v>0</v>
      </c>
      <c r="Z177" s="2">
        <v>128.416</v>
      </c>
      <c r="AA177" s="2">
        <v>128.416</v>
      </c>
      <c r="AB177" s="2">
        <v>0</v>
      </c>
      <c r="AC177" s="2">
        <v>3.8050000000000002</v>
      </c>
      <c r="AD177" s="2">
        <v>3.8050000000000002</v>
      </c>
      <c r="AE177" s="2">
        <v>3.8050000000000002</v>
      </c>
    </row>
    <row r="178" spans="2:31">
      <c r="C178" s="20" t="s">
        <v>139</v>
      </c>
      <c r="F178" s="2">
        <v>45.49</v>
      </c>
      <c r="G178" s="2">
        <v>105.366</v>
      </c>
      <c r="H178" s="2">
        <v>79.751999999999995</v>
      </c>
      <c r="I178" s="2">
        <v>160.72399999999999</v>
      </c>
      <c r="J178" s="2">
        <v>224.30099999999999</v>
      </c>
      <c r="K178" s="2">
        <v>201.41200000000001</v>
      </c>
      <c r="L178" s="3">
        <f>K178</f>
        <v>201.41200000000001</v>
      </c>
      <c r="M178" s="3">
        <f t="shared" si="165"/>
        <v>201.41200000000001</v>
      </c>
      <c r="N178" s="3">
        <f t="shared" si="165"/>
        <v>201.41200000000001</v>
      </c>
      <c r="O178" s="3">
        <f t="shared" si="165"/>
        <v>201.41200000000001</v>
      </c>
      <c r="P178" s="3">
        <f t="shared" si="165"/>
        <v>201.41200000000001</v>
      </c>
      <c r="Q178" s="3">
        <f t="shared" si="165"/>
        <v>201.41200000000001</v>
      </c>
      <c r="R178" s="3">
        <f t="shared" si="165"/>
        <v>201.41200000000001</v>
      </c>
      <c r="S178" s="3">
        <f t="shared" si="165"/>
        <v>201.41200000000001</v>
      </c>
      <c r="T178" s="3">
        <f t="shared" si="165"/>
        <v>201.41200000000001</v>
      </c>
      <c r="U178" s="3">
        <f t="shared" si="165"/>
        <v>201.41200000000001</v>
      </c>
      <c r="X178" s="2"/>
      <c r="Y178" s="2">
        <v>79.751999999999995</v>
      </c>
      <c r="Z178" s="2">
        <v>67.02</v>
      </c>
      <c r="AA178" s="2">
        <v>160.72399999999999</v>
      </c>
      <c r="AB178" s="2">
        <v>114.532</v>
      </c>
      <c r="AC178" s="2">
        <v>224.30099999999999</v>
      </c>
      <c r="AD178" s="2">
        <v>38.994999999999997</v>
      </c>
      <c r="AE178" s="2">
        <v>201.41200000000001</v>
      </c>
    </row>
    <row r="179" spans="2:31">
      <c r="C179" s="1" t="s">
        <v>140</v>
      </c>
      <c r="F179" s="2">
        <v>414.39100000000002</v>
      </c>
      <c r="G179" s="2">
        <v>567.45100000000002</v>
      </c>
      <c r="H179" s="2">
        <v>347.76400000000001</v>
      </c>
      <c r="I179" s="2">
        <v>410.35399999999998</v>
      </c>
      <c r="J179" s="2">
        <f>122.174+22.602</f>
        <v>144.77600000000001</v>
      </c>
      <c r="K179" s="2">
        <f>3721.208+22.936</f>
        <v>3744.1440000000002</v>
      </c>
      <c r="L179" s="3">
        <v>32.695</v>
      </c>
      <c r="M179" s="3">
        <v>259.27600000000001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X179" s="2"/>
      <c r="Y179" s="2">
        <v>347.76400000000001</v>
      </c>
      <c r="Z179" s="2">
        <v>1094.241</v>
      </c>
      <c r="AA179" s="2">
        <v>410.35399999999998</v>
      </c>
      <c r="AB179" s="2">
        <f>423.599+10.131</f>
        <v>433.73</v>
      </c>
      <c r="AC179" s="2">
        <f>122.174+22.602</f>
        <v>144.77600000000001</v>
      </c>
      <c r="AD179" s="2">
        <f>3013.212+22.602</f>
        <v>3035.8139999999999</v>
      </c>
      <c r="AE179" s="2">
        <f>3721.208+22.936</f>
        <v>3744.1440000000002</v>
      </c>
    </row>
    <row r="180" spans="2:31">
      <c r="C180" s="1" t="s">
        <v>141</v>
      </c>
      <c r="F180" s="2">
        <v>0</v>
      </c>
      <c r="G180" s="2">
        <v>0</v>
      </c>
      <c r="H180" s="2">
        <v>0</v>
      </c>
      <c r="I180" s="2">
        <v>0</v>
      </c>
      <c r="J180" s="2">
        <v>733.20299999999997</v>
      </c>
      <c r="K180" s="2">
        <v>1057.6130000000001</v>
      </c>
      <c r="L180" s="1">
        <f t="shared" ref="L180:U180" si="166">K180*L153/K153</f>
        <v>1201.193296670438</v>
      </c>
      <c r="M180" s="1">
        <f t="shared" si="166"/>
        <v>1320.8435438958031</v>
      </c>
      <c r="N180" s="1">
        <f t="shared" si="166"/>
        <v>1340.5898007493313</v>
      </c>
      <c r="O180" s="1">
        <f t="shared" si="166"/>
        <v>1357.0450147939382</v>
      </c>
      <c r="P180" s="1">
        <f t="shared" si="166"/>
        <v>1370.7576931644437</v>
      </c>
      <c r="Q180" s="1">
        <f t="shared" si="166"/>
        <v>1382.1849251398651</v>
      </c>
      <c r="R180" s="1">
        <f t="shared" si="166"/>
        <v>1311.7453359517731</v>
      </c>
      <c r="S180" s="1">
        <f t="shared" si="166"/>
        <v>1253.04567829503</v>
      </c>
      <c r="T180" s="1">
        <f t="shared" si="166"/>
        <v>1204.1292969144106</v>
      </c>
      <c r="U180" s="1">
        <f t="shared" si="166"/>
        <v>1163.3656457638942</v>
      </c>
      <c r="X180" s="2"/>
      <c r="Y180" s="2">
        <v>0</v>
      </c>
      <c r="Z180" s="2">
        <v>0</v>
      </c>
      <c r="AA180" s="2">
        <v>0</v>
      </c>
      <c r="AB180" s="2">
        <v>449.59800000000001</v>
      </c>
      <c r="AC180" s="2">
        <v>733.20299999999997</v>
      </c>
      <c r="AD180" s="2">
        <v>857.702</v>
      </c>
      <c r="AE180" s="2">
        <v>1057.6130000000001</v>
      </c>
    </row>
    <row r="181" spans="2:31">
      <c r="C181" s="20" t="s">
        <v>142</v>
      </c>
      <c r="F181" s="2">
        <v>245.20400000000001</v>
      </c>
      <c r="G181" s="2">
        <v>273.24900000000002</v>
      </c>
      <c r="H181" s="2">
        <v>308.57900000000001</v>
      </c>
      <c r="I181" s="2">
        <v>378.03899999999999</v>
      </c>
      <c r="J181" s="2">
        <v>502.78399999999999</v>
      </c>
      <c r="K181" s="2">
        <v>642.55999999999995</v>
      </c>
      <c r="L181" s="1">
        <f>-L209</f>
        <v>1436.7930502254123</v>
      </c>
      <c r="M181" s="1">
        <f t="shared" ref="M181:U181" si="167">-M209</f>
        <v>1899.4480135363015</v>
      </c>
      <c r="N181" s="1">
        <f t="shared" si="167"/>
        <v>2234.8207649891688</v>
      </c>
      <c r="O181" s="1">
        <f t="shared" si="167"/>
        <v>2526.5930274837588</v>
      </c>
      <c r="P181" s="1">
        <f t="shared" si="167"/>
        <v>2838.3133750670809</v>
      </c>
      <c r="Q181" s="1">
        <f t="shared" si="167"/>
        <v>3177.5377723764027</v>
      </c>
      <c r="R181" s="1">
        <f t="shared" si="167"/>
        <v>3491.3860759909671</v>
      </c>
      <c r="S181" s="1">
        <f t="shared" si="167"/>
        <v>3769.498081436087</v>
      </c>
      <c r="T181" s="1">
        <f t="shared" si="167"/>
        <v>4074.3917837625686</v>
      </c>
      <c r="U181" s="1">
        <f t="shared" si="167"/>
        <v>4396.6216982754368</v>
      </c>
      <c r="X181" s="2"/>
      <c r="Y181" s="2">
        <v>308.57900000000001</v>
      </c>
      <c r="Z181" s="2">
        <v>372.42599999999999</v>
      </c>
      <c r="AA181" s="2">
        <v>378.03899999999999</v>
      </c>
      <c r="AB181" s="2">
        <v>436.80900000000003</v>
      </c>
      <c r="AC181" s="2">
        <v>502.78399999999999</v>
      </c>
      <c r="AD181" s="2">
        <v>538.64300000000003</v>
      </c>
      <c r="AE181" s="2">
        <v>642.55999999999995</v>
      </c>
    </row>
    <row r="183" spans="2:31" s="6" customFormat="1">
      <c r="B183" s="6" t="s">
        <v>143</v>
      </c>
      <c r="F183" s="6">
        <f t="shared" ref="F183:I183" si="168">F185+F186+F187+F188</f>
        <v>5.2810000000000006</v>
      </c>
      <c r="G183" s="6">
        <f t="shared" si="168"/>
        <v>35.464999999999996</v>
      </c>
      <c r="H183" s="6">
        <f t="shared" si="168"/>
        <v>26.707000000000001</v>
      </c>
      <c r="I183" s="6">
        <f t="shared" si="168"/>
        <v>9.0969999999999995</v>
      </c>
      <c r="J183" s="6">
        <f>J185+J186+J187+J188</f>
        <v>4323.8280000000004</v>
      </c>
      <c r="K183" s="6">
        <f>K185+K186+K187+K188</f>
        <v>7421.9430000000002</v>
      </c>
      <c r="L183" s="6">
        <f t="shared" ref="L183:U183" si="169">L185+L186+L187+L188</f>
        <v>8340.1599547364167</v>
      </c>
      <c r="M183" s="6">
        <f t="shared" si="169"/>
        <v>8873.3105836834329</v>
      </c>
      <c r="N183" s="6">
        <f t="shared" si="169"/>
        <v>9004.0872441218416</v>
      </c>
      <c r="O183" s="6">
        <f t="shared" si="169"/>
        <v>9113.0677944871823</v>
      </c>
      <c r="P183" s="6">
        <f t="shared" si="169"/>
        <v>9203.8849197916315</v>
      </c>
      <c r="Q183" s="6">
        <f t="shared" si="169"/>
        <v>9279.5658575453399</v>
      </c>
      <c r="R183" s="6">
        <f t="shared" si="169"/>
        <v>8813.0544419893249</v>
      </c>
      <c r="S183" s="6">
        <f t="shared" si="169"/>
        <v>8424.2949290259803</v>
      </c>
      <c r="T183" s="6">
        <f t="shared" si="169"/>
        <v>8100.328668223191</v>
      </c>
      <c r="U183" s="6">
        <f t="shared" si="169"/>
        <v>7830.3567842208668</v>
      </c>
      <c r="X183" s="6">
        <f t="shared" ref="X183:AA183" si="170">X185+X186+X187+X188</f>
        <v>0</v>
      </c>
      <c r="Y183" s="6">
        <f>Y185+Y186+Y187+Y188</f>
        <v>26.707000000000001</v>
      </c>
      <c r="Z183" s="6">
        <f t="shared" si="170"/>
        <v>22.09</v>
      </c>
      <c r="AA183" s="6">
        <f t="shared" si="170"/>
        <v>9.0969999999999995</v>
      </c>
      <c r="AB183" s="6">
        <f>AB185+AB186+AB187+AB188</f>
        <v>3803.8620000000001</v>
      </c>
      <c r="AC183" s="6">
        <f>AC185+AC186+AC187+AC188</f>
        <v>4323.8280000000004</v>
      </c>
      <c r="AD183" s="6">
        <f t="shared" ref="AD183" si="171">AD185+AD186+AD187+AD188</f>
        <v>5565.1369999999997</v>
      </c>
      <c r="AE183" s="6">
        <f>AE185+AE186+AE187+AE188</f>
        <v>7421.9430000000002</v>
      </c>
    </row>
    <row r="185" spans="2:31">
      <c r="C185" s="20" t="s">
        <v>144</v>
      </c>
      <c r="F185" s="2">
        <v>3.29</v>
      </c>
      <c r="G185" s="2">
        <v>21.742999999999999</v>
      </c>
      <c r="H185" s="2">
        <v>13.398</v>
      </c>
      <c r="I185" s="2">
        <v>1.6180000000000001</v>
      </c>
      <c r="J185" s="2">
        <v>46.76</v>
      </c>
      <c r="K185" s="2">
        <v>21.398</v>
      </c>
      <c r="L185" s="3">
        <f>K185</f>
        <v>21.398</v>
      </c>
      <c r="M185" s="3">
        <f t="shared" ref="M185:U185" si="172">L185</f>
        <v>21.398</v>
      </c>
      <c r="N185" s="3">
        <f t="shared" si="172"/>
        <v>21.398</v>
      </c>
      <c r="O185" s="3">
        <f t="shared" si="172"/>
        <v>21.398</v>
      </c>
      <c r="P185" s="3">
        <f t="shared" si="172"/>
        <v>21.398</v>
      </c>
      <c r="Q185" s="3">
        <f t="shared" si="172"/>
        <v>21.398</v>
      </c>
      <c r="R185" s="3">
        <f t="shared" si="172"/>
        <v>21.398</v>
      </c>
      <c r="S185" s="3">
        <f t="shared" si="172"/>
        <v>21.398</v>
      </c>
      <c r="T185" s="3">
        <f t="shared" si="172"/>
        <v>21.398</v>
      </c>
      <c r="U185" s="3">
        <f t="shared" si="172"/>
        <v>21.398</v>
      </c>
      <c r="X185" s="2"/>
      <c r="Y185" s="2">
        <v>13.398</v>
      </c>
      <c r="Z185" s="2">
        <v>1.0269999999999999</v>
      </c>
      <c r="AA185" s="2">
        <v>1.6180000000000001</v>
      </c>
      <c r="AB185" s="2">
        <v>6.4089999999999998</v>
      </c>
      <c r="AC185" s="2">
        <v>46.76</v>
      </c>
      <c r="AD185" s="2">
        <v>10.72</v>
      </c>
      <c r="AE185" s="2">
        <v>21.398</v>
      </c>
    </row>
    <row r="186" spans="2:31">
      <c r="C186" s="1" t="s">
        <v>140</v>
      </c>
      <c r="F186" s="2">
        <v>0</v>
      </c>
      <c r="G186" s="2">
        <v>11.111000000000001</v>
      </c>
      <c r="H186" s="2">
        <v>9.4559999999999995</v>
      </c>
      <c r="I186" s="2">
        <v>0</v>
      </c>
      <c r="J186" s="2">
        <v>84.757999999999996</v>
      </c>
      <c r="K186" s="2">
        <f>268.16+62.156</f>
        <v>330.31600000000003</v>
      </c>
      <c r="L186" s="1">
        <f>K186-L179</f>
        <v>297.62100000000004</v>
      </c>
      <c r="M186" s="1">
        <f t="shared" ref="M186:U186" si="173">L186-M179</f>
        <v>38.345000000000027</v>
      </c>
      <c r="N186" s="1">
        <f t="shared" si="173"/>
        <v>38.345000000000027</v>
      </c>
      <c r="O186" s="1">
        <f t="shared" si="173"/>
        <v>38.345000000000027</v>
      </c>
      <c r="P186" s="1">
        <f t="shared" si="173"/>
        <v>38.345000000000027</v>
      </c>
      <c r="Q186" s="1">
        <f t="shared" si="173"/>
        <v>38.345000000000027</v>
      </c>
      <c r="R186" s="1">
        <f t="shared" si="173"/>
        <v>38.345000000000027</v>
      </c>
      <c r="S186" s="1">
        <f t="shared" si="173"/>
        <v>38.345000000000027</v>
      </c>
      <c r="T186" s="1">
        <f t="shared" si="173"/>
        <v>38.345000000000027</v>
      </c>
      <c r="U186" s="1">
        <f t="shared" si="173"/>
        <v>38.345000000000027</v>
      </c>
      <c r="X186" s="2"/>
      <c r="Y186" s="2">
        <v>9.4559999999999995</v>
      </c>
      <c r="Z186" s="2">
        <v>17.241</v>
      </c>
      <c r="AA186" s="2">
        <v>0</v>
      </c>
      <c r="AB186" s="2">
        <v>86.114999999999995</v>
      </c>
      <c r="AC186" s="2">
        <v>84.757999999999996</v>
      </c>
      <c r="AD186" s="2">
        <f>291.971+73.457</f>
        <v>365.428</v>
      </c>
      <c r="AE186" s="2">
        <f>268.16+62.156</f>
        <v>330.31600000000003</v>
      </c>
    </row>
    <row r="187" spans="2:31">
      <c r="C187" s="1" t="s">
        <v>141</v>
      </c>
      <c r="F187" s="2">
        <v>0</v>
      </c>
      <c r="G187" s="2">
        <v>0</v>
      </c>
      <c r="H187" s="2">
        <v>0</v>
      </c>
      <c r="I187" s="2">
        <v>0</v>
      </c>
      <c r="J187" s="2">
        <v>4142.96</v>
      </c>
      <c r="K187" s="2">
        <v>7004.4210000000003</v>
      </c>
      <c r="L187" s="1">
        <f t="shared" ref="L187:U187" si="174">K187*L153/K153</f>
        <v>7955.3329547364165</v>
      </c>
      <c r="M187" s="1">
        <f t="shared" si="174"/>
        <v>8747.7595836834316</v>
      </c>
      <c r="N187" s="1">
        <f t="shared" si="174"/>
        <v>8878.5362441218404</v>
      </c>
      <c r="O187" s="1">
        <f t="shared" si="174"/>
        <v>8987.516794487181</v>
      </c>
      <c r="P187" s="1">
        <f t="shared" si="174"/>
        <v>9078.3339197916303</v>
      </c>
      <c r="Q187" s="1">
        <f t="shared" si="174"/>
        <v>9154.0148575453386</v>
      </c>
      <c r="R187" s="1">
        <f t="shared" si="174"/>
        <v>8687.5034419893236</v>
      </c>
      <c r="S187" s="1">
        <f t="shared" si="174"/>
        <v>8298.743929025979</v>
      </c>
      <c r="T187" s="1">
        <f t="shared" si="174"/>
        <v>7974.7776682231906</v>
      </c>
      <c r="U187" s="1">
        <f t="shared" si="174"/>
        <v>7704.8057842208664</v>
      </c>
      <c r="X187" s="2"/>
      <c r="Y187" s="2">
        <v>0</v>
      </c>
      <c r="Z187" s="2">
        <v>0</v>
      </c>
      <c r="AA187" s="2">
        <v>0</v>
      </c>
      <c r="AB187" s="2">
        <v>3703.145</v>
      </c>
      <c r="AC187" s="2">
        <v>4142.96</v>
      </c>
      <c r="AD187" s="2">
        <v>5130.2049999999999</v>
      </c>
      <c r="AE187" s="2">
        <v>7004.4210000000003</v>
      </c>
    </row>
    <row r="188" spans="2:31">
      <c r="C188" s="20" t="s">
        <v>145</v>
      </c>
      <c r="F188" s="2">
        <v>1.9910000000000001</v>
      </c>
      <c r="G188" s="2">
        <v>2.6110000000000002</v>
      </c>
      <c r="H188" s="2">
        <v>3.8530000000000002</v>
      </c>
      <c r="I188" s="2">
        <v>7.4790000000000001</v>
      </c>
      <c r="J188" s="2">
        <v>49.35</v>
      </c>
      <c r="K188" s="2">
        <v>65.808000000000007</v>
      </c>
      <c r="L188" s="3">
        <f>K188</f>
        <v>65.808000000000007</v>
      </c>
      <c r="M188" s="3">
        <f t="shared" ref="M188:U188" si="175">L188</f>
        <v>65.808000000000007</v>
      </c>
      <c r="N188" s="3">
        <f t="shared" si="175"/>
        <v>65.808000000000007</v>
      </c>
      <c r="O188" s="3">
        <f t="shared" si="175"/>
        <v>65.808000000000007</v>
      </c>
      <c r="P188" s="3">
        <f t="shared" si="175"/>
        <v>65.808000000000007</v>
      </c>
      <c r="Q188" s="3">
        <f t="shared" si="175"/>
        <v>65.808000000000007</v>
      </c>
      <c r="R188" s="3">
        <f t="shared" si="175"/>
        <v>65.808000000000007</v>
      </c>
      <c r="S188" s="3">
        <f t="shared" si="175"/>
        <v>65.808000000000007</v>
      </c>
      <c r="T188" s="3">
        <f t="shared" si="175"/>
        <v>65.808000000000007</v>
      </c>
      <c r="U188" s="3">
        <f t="shared" si="175"/>
        <v>65.808000000000007</v>
      </c>
      <c r="X188" s="2"/>
      <c r="Y188" s="2">
        <v>3.8530000000000002</v>
      </c>
      <c r="Z188" s="2">
        <v>3.8220000000000001</v>
      </c>
      <c r="AA188" s="2">
        <v>7.4790000000000001</v>
      </c>
      <c r="AB188" s="2">
        <v>8.1929999999999996</v>
      </c>
      <c r="AC188" s="2">
        <v>49.35</v>
      </c>
      <c r="AD188" s="2">
        <v>58.783999999999999</v>
      </c>
      <c r="AE188" s="2">
        <v>65.808000000000007</v>
      </c>
    </row>
    <row r="190" spans="2:31" s="6" customFormat="1">
      <c r="B190" s="6" t="s">
        <v>146</v>
      </c>
      <c r="F190" s="6">
        <f>F172+F183</f>
        <v>1249.6999999999998</v>
      </c>
      <c r="G190" s="6">
        <f t="shared" ref="G190:U190" si="176">G172+G183</f>
        <v>1677.7829999999999</v>
      </c>
      <c r="H190" s="6">
        <f t="shared" si="176"/>
        <v>2644.8440000000001</v>
      </c>
      <c r="I190" s="6">
        <f t="shared" si="176"/>
        <v>3315.0850000000005</v>
      </c>
      <c r="J190" s="6">
        <f t="shared" si="176"/>
        <v>9987.8990000000013</v>
      </c>
      <c r="K190" s="6">
        <f t="shared" si="176"/>
        <v>17289.885999999999</v>
      </c>
      <c r="L190" s="6">
        <f t="shared" si="176"/>
        <v>20170.172094883452</v>
      </c>
      <c r="M190" s="6">
        <f t="shared" si="176"/>
        <v>24270.841714444305</v>
      </c>
      <c r="N190" s="6">
        <f t="shared" si="176"/>
        <v>26497.159514777089</v>
      </c>
      <c r="O190" s="6">
        <f t="shared" si="176"/>
        <v>28654.092804488584</v>
      </c>
      <c r="P190" s="6">
        <f t="shared" si="176"/>
        <v>30929.010942158777</v>
      </c>
      <c r="Q190" s="6">
        <f t="shared" si="176"/>
        <v>33378.00751678236</v>
      </c>
      <c r="R190" s="6">
        <f t="shared" si="176"/>
        <v>35026.260981653999</v>
      </c>
      <c r="S190" s="6">
        <f t="shared" si="176"/>
        <v>36515.188244713107</v>
      </c>
      <c r="T190" s="6">
        <f t="shared" si="176"/>
        <v>38265.162643362208</v>
      </c>
      <c r="U190" s="6">
        <f t="shared" si="176"/>
        <v>40197.989495923168</v>
      </c>
      <c r="X190" s="6">
        <f t="shared" ref="X190:AE190" si="177">X172+X183</f>
        <v>0</v>
      </c>
      <c r="Y190" s="6">
        <f>Y172+Y183</f>
        <v>2644.8440000000001</v>
      </c>
      <c r="Z190" s="6">
        <f t="shared" si="177"/>
        <v>3336.605</v>
      </c>
      <c r="AA190" s="6">
        <f>AA172+AA183</f>
        <v>3315.0850000000005</v>
      </c>
      <c r="AB190" s="6">
        <f t="shared" si="177"/>
        <v>7727.3260000000009</v>
      </c>
      <c r="AC190" s="6">
        <f t="shared" si="177"/>
        <v>9987.8990000000013</v>
      </c>
      <c r="AD190" s="6">
        <f t="shared" si="177"/>
        <v>14111.700999999997</v>
      </c>
      <c r="AE190" s="6">
        <f t="shared" si="177"/>
        <v>17289.885999999999</v>
      </c>
    </row>
    <row r="192" spans="2:31">
      <c r="B192" s="1" t="s">
        <v>147</v>
      </c>
      <c r="F192" s="1">
        <f>F193+F194</f>
        <v>719.22799999999995</v>
      </c>
      <c r="G192" s="1">
        <f t="shared" ref="G192:K192" si="178">G193+G194</f>
        <v>802.01700000000005</v>
      </c>
      <c r="H192" s="1">
        <f t="shared" si="178"/>
        <v>1089.085</v>
      </c>
      <c r="I192" s="1">
        <f t="shared" si="178"/>
        <v>8624.9719999999998</v>
      </c>
      <c r="J192" s="1">
        <f t="shared" si="178"/>
        <v>10623.000999999998</v>
      </c>
      <c r="K192" s="1">
        <f t="shared" si="178"/>
        <v>10233.950999999999</v>
      </c>
      <c r="X192" s="1">
        <f t="shared" ref="X192:AE192" si="179">X193+X194</f>
        <v>0</v>
      </c>
      <c r="Y192" s="1">
        <f t="shared" si="179"/>
        <v>1089.085</v>
      </c>
      <c r="Z192" s="1">
        <f t="shared" si="179"/>
        <v>1156.6849999999999</v>
      </c>
      <c r="AA192" s="1">
        <f t="shared" si="179"/>
        <v>8624.9719999999998</v>
      </c>
      <c r="AB192" s="1">
        <f t="shared" si="179"/>
        <v>9190.9599999999991</v>
      </c>
      <c r="AC192" s="1">
        <f t="shared" si="179"/>
        <v>10623.000999999998</v>
      </c>
      <c r="AD192" s="1">
        <f t="shared" si="179"/>
        <v>8921.5919999999987</v>
      </c>
      <c r="AE192" s="1">
        <f t="shared" si="179"/>
        <v>10233.950999999999</v>
      </c>
    </row>
    <row r="193" spans="2:31">
      <c r="C193" s="1" t="s">
        <v>148</v>
      </c>
      <c r="F193" s="2">
        <v>0</v>
      </c>
      <c r="G193" s="2">
        <v>0</v>
      </c>
      <c r="H193" s="2">
        <v>0.107</v>
      </c>
      <c r="I193" s="2">
        <v>0.17499999999999999</v>
      </c>
      <c r="J193" s="2">
        <v>0.17499999999999999</v>
      </c>
      <c r="K193" s="2">
        <v>0.17499999999999999</v>
      </c>
      <c r="X193" s="2"/>
      <c r="Y193" s="2">
        <v>0.107</v>
      </c>
      <c r="Z193" s="2">
        <v>0.107</v>
      </c>
      <c r="AA193" s="2">
        <v>0.17499999999999999</v>
      </c>
      <c r="AB193" s="2">
        <v>0.17499999999999999</v>
      </c>
      <c r="AC193" s="2">
        <v>0.17499999999999999</v>
      </c>
      <c r="AD193" s="2">
        <v>0.17499999999999999</v>
      </c>
      <c r="AE193" s="2">
        <v>0.17499999999999999</v>
      </c>
    </row>
    <row r="194" spans="2:31">
      <c r="C194" s="1" t="s">
        <v>149</v>
      </c>
      <c r="F194" s="2">
        <v>719.22799999999995</v>
      </c>
      <c r="G194" s="2">
        <v>802.01700000000005</v>
      </c>
      <c r="H194" s="2">
        <v>1088.9780000000001</v>
      </c>
      <c r="I194" s="2">
        <v>8624.7970000000005</v>
      </c>
      <c r="J194" s="2">
        <v>10622.825999999999</v>
      </c>
      <c r="K194" s="2">
        <v>10233.776</v>
      </c>
      <c r="X194" s="2"/>
      <c r="Y194" s="2">
        <v>1088.9780000000001</v>
      </c>
      <c r="Z194" s="2">
        <v>1156.578</v>
      </c>
      <c r="AA194" s="2">
        <v>8624.7970000000005</v>
      </c>
      <c r="AB194" s="2">
        <v>9190.7849999999999</v>
      </c>
      <c r="AC194" s="2">
        <v>10622.825999999999</v>
      </c>
      <c r="AD194" s="2">
        <v>8921.4169999999995</v>
      </c>
      <c r="AE194" s="2">
        <v>10233.776</v>
      </c>
    </row>
    <row r="196" spans="2:31">
      <c r="B196" s="1" t="s">
        <v>150</v>
      </c>
      <c r="F196" s="2">
        <v>437.69</v>
      </c>
      <c r="G196" s="2">
        <v>269.72300000000001</v>
      </c>
      <c r="H196" s="2">
        <v>1.8959999999999999</v>
      </c>
      <c r="I196" s="2">
        <v>4.5860000000000003</v>
      </c>
      <c r="J196" s="2">
        <v>3.032</v>
      </c>
      <c r="K196" s="2">
        <v>3.3069999999999999</v>
      </c>
      <c r="X196" s="2"/>
      <c r="Y196" s="2">
        <v>1.8959999999999999</v>
      </c>
      <c r="Z196" s="2">
        <v>35.241</v>
      </c>
      <c r="AA196" s="2">
        <v>4.5860000000000003</v>
      </c>
      <c r="AB196" s="2">
        <v>5.7160000000000002</v>
      </c>
      <c r="AC196" s="2">
        <v>3.032</v>
      </c>
      <c r="AD196" s="2">
        <v>3.1269999999999998</v>
      </c>
      <c r="AE196" s="2">
        <v>3.3069999999999999</v>
      </c>
    </row>
    <row r="198" spans="2:31" s="6" customFormat="1">
      <c r="B198" s="6" t="s">
        <v>151</v>
      </c>
      <c r="F198" s="6">
        <f>F192+F196</f>
        <v>1156.9179999999999</v>
      </c>
      <c r="G198" s="6">
        <f t="shared" ref="G198:K198" si="180">G192+G196</f>
        <v>1071.74</v>
      </c>
      <c r="H198" s="6">
        <f t="shared" si="180"/>
        <v>1090.981</v>
      </c>
      <c r="I198" s="6">
        <f t="shared" si="180"/>
        <v>8629.5579999999991</v>
      </c>
      <c r="J198" s="6">
        <f t="shared" si="180"/>
        <v>10626.032999999998</v>
      </c>
      <c r="K198" s="6">
        <f t="shared" si="180"/>
        <v>10237.258</v>
      </c>
      <c r="X198" s="6">
        <f t="shared" ref="X198:AE198" si="181">X192+X196</f>
        <v>0</v>
      </c>
      <c r="Y198" s="6">
        <f>Y192+Y196</f>
        <v>1090.981</v>
      </c>
      <c r="Z198" s="6">
        <f t="shared" si="181"/>
        <v>1191.9259999999999</v>
      </c>
      <c r="AA198" s="6">
        <f>AA192+AA196</f>
        <v>8629.5579999999991</v>
      </c>
      <c r="AB198" s="6">
        <f t="shared" si="181"/>
        <v>9196.6759999999995</v>
      </c>
      <c r="AC198" s="6">
        <f t="shared" si="181"/>
        <v>10626.032999999998</v>
      </c>
      <c r="AD198" s="6">
        <f t="shared" si="181"/>
        <v>8924.7189999999991</v>
      </c>
      <c r="AE198" s="6">
        <f t="shared" si="181"/>
        <v>10237.258</v>
      </c>
    </row>
    <row r="199" spans="2:31" s="26" customFormat="1">
      <c r="C199" s="26" t="s">
        <v>152</v>
      </c>
      <c r="F199" s="26">
        <f>F170-F190-F198</f>
        <v>0</v>
      </c>
      <c r="G199" s="26">
        <f t="shared" ref="G199:K199" si="182">G170-G190-G198</f>
        <v>0</v>
      </c>
      <c r="H199" s="26">
        <f t="shared" si="182"/>
        <v>0</v>
      </c>
      <c r="I199" s="26">
        <f t="shared" si="182"/>
        <v>0</v>
      </c>
      <c r="J199" s="26">
        <f t="shared" si="182"/>
        <v>0</v>
      </c>
      <c r="K199" s="26">
        <f t="shared" si="182"/>
        <v>0</v>
      </c>
      <c r="X199" s="26">
        <f t="shared" ref="X199:AE199" si="183">X170-X190-X198</f>
        <v>0</v>
      </c>
      <c r="Y199" s="26">
        <f t="shared" si="183"/>
        <v>0</v>
      </c>
      <c r="Z199" s="26">
        <f t="shared" si="183"/>
        <v>0</v>
      </c>
      <c r="AA199" s="26">
        <f t="shared" si="183"/>
        <v>0</v>
      </c>
      <c r="AB199" s="26">
        <f t="shared" si="183"/>
        <v>0</v>
      </c>
      <c r="AC199" s="26">
        <f t="shared" si="183"/>
        <v>0</v>
      </c>
      <c r="AD199" s="26">
        <f t="shared" si="183"/>
        <v>0</v>
      </c>
      <c r="AE199" s="26">
        <f t="shared" si="183"/>
        <v>0</v>
      </c>
    </row>
    <row r="201" spans="2:31" s="6" customFormat="1">
      <c r="B201" s="6" t="s">
        <v>153</v>
      </c>
    </row>
    <row r="203" spans="2:31" s="6" customFormat="1">
      <c r="B203" s="6" t="s">
        <v>154</v>
      </c>
      <c r="F203" s="6">
        <f t="shared" ref="F203:J203" si="184">SUM(F204:F210)</f>
        <v>582.49900000000002</v>
      </c>
      <c r="G203" s="6">
        <f t="shared" si="184"/>
        <v>295.71999999999991</v>
      </c>
      <c r="H203" s="6">
        <f t="shared" si="184"/>
        <v>-956.22700000000009</v>
      </c>
      <c r="I203" s="6">
        <f t="shared" si="184"/>
        <v>-715.68799999999987</v>
      </c>
      <c r="J203" s="6">
        <f t="shared" si="184"/>
        <v>-1053.5</v>
      </c>
      <c r="K203" s="6">
        <f>SUM(K204:K210)</f>
        <v>-464.22599999999989</v>
      </c>
      <c r="L203" s="6">
        <f t="shared" ref="L203:U203" si="185">SUM(L204:L210)</f>
        <v>-1624.3822216463313</v>
      </c>
      <c r="M203" s="6">
        <f t="shared" si="185"/>
        <v>-2209.5469714114624</v>
      </c>
      <c r="N203" s="6">
        <f t="shared" si="185"/>
        <v>-2628.2728761476583</v>
      </c>
      <c r="O203" s="6">
        <f t="shared" si="185"/>
        <v>-2971.3909216488109</v>
      </c>
      <c r="P203" s="6">
        <f t="shared" si="185"/>
        <v>-3349.1010564919166</v>
      </c>
      <c r="Q203" s="6">
        <f t="shared" si="185"/>
        <v>-3774.5061225103832</v>
      </c>
      <c r="R203" s="6">
        <f t="shared" si="185"/>
        <v>-4210.1883304387711</v>
      </c>
      <c r="S203" s="6">
        <f t="shared" si="185"/>
        <v>-4583.9000177116941</v>
      </c>
      <c r="T203" s="6">
        <f t="shared" si="185"/>
        <v>-5004.0539999281336</v>
      </c>
      <c r="U203" s="6">
        <f t="shared" si="185"/>
        <v>-5454.2708076305807</v>
      </c>
      <c r="X203" s="6">
        <f>SUM(X204:X210)</f>
        <v>0</v>
      </c>
      <c r="Y203" s="6">
        <f>SUM(Y204:Y210)</f>
        <v>-318.7000000000001</v>
      </c>
      <c r="Z203" s="6">
        <f>SUM(Z204:Z210)</f>
        <v>-320.1629999999999</v>
      </c>
      <c r="AA203" s="6">
        <f>SUM(AA204:AA210)</f>
        <v>-557.03499999999963</v>
      </c>
      <c r="AB203" s="6">
        <f>SUM(AB204:AB210)</f>
        <v>-487.54600000000022</v>
      </c>
      <c r="AC203" s="6">
        <f>SUM(AC204:AC210)</f>
        <v>-551.93700000000001</v>
      </c>
      <c r="AD203" s="6">
        <f>SUM(AD204:AD210)</f>
        <v>-570.69000000000005</v>
      </c>
      <c r="AE203" s="6">
        <f>SUM(AE204:AE210)</f>
        <v>-697.15199999999993</v>
      </c>
    </row>
    <row r="204" spans="2:31">
      <c r="C204" s="1" t="s">
        <v>155</v>
      </c>
      <c r="F204" s="1">
        <f t="shared" ref="F204:K204" si="186">F159</f>
        <v>175.47300000000001</v>
      </c>
      <c r="G204" s="1">
        <f t="shared" si="186"/>
        <v>246.678</v>
      </c>
      <c r="H204" s="1">
        <f t="shared" si="186"/>
        <v>497.61599999999999</v>
      </c>
      <c r="I204" s="1">
        <f t="shared" si="186"/>
        <v>845.11800000000005</v>
      </c>
      <c r="J204" s="1">
        <f t="shared" si="186"/>
        <v>1615.5509999999999</v>
      </c>
      <c r="K204" s="1">
        <f t="shared" si="186"/>
        <v>2205.415</v>
      </c>
      <c r="L204" s="1">
        <f>L212/L$2*L$5</f>
        <v>4931.4070979564203</v>
      </c>
      <c r="M204" s="1">
        <f>M212/M$2*M$5</f>
        <v>6519.3462723685916</v>
      </c>
      <c r="N204" s="1">
        <f>N212/N$2*N$5</f>
        <v>7670.4233650065162</v>
      </c>
      <c r="O204" s="1">
        <f>O212/O$2*O$5</f>
        <v>8671.8534638136425</v>
      </c>
      <c r="P204" s="1">
        <f>P212/P$2*P$5</f>
        <v>9741.7500187897876</v>
      </c>
      <c r="Q204" s="1">
        <f>Q212/Q$2*Q$5</f>
        <v>10906.046853625348</v>
      </c>
      <c r="R204" s="1">
        <f>R212/R$2*R$5</f>
        <v>11983.247047406652</v>
      </c>
      <c r="S204" s="1">
        <f>S212/S$2*S$5</f>
        <v>12937.791974711105</v>
      </c>
      <c r="T204" s="1">
        <f>T212/T$2*T$5</f>
        <v>13984.25789931948</v>
      </c>
      <c r="U204" s="1">
        <f>U212/U$2*U$5</f>
        <v>15090.225726316799</v>
      </c>
      <c r="X204" s="1">
        <f>X159</f>
        <v>0</v>
      </c>
      <c r="Y204" s="1">
        <f>Y159</f>
        <v>497.61599999999999</v>
      </c>
      <c r="Z204" s="1">
        <f t="shared" ref="Z204:AE204" si="187">Z159</f>
        <v>568.53800000000001</v>
      </c>
      <c r="AA204" s="1">
        <f>AA159</f>
        <v>845.11800000000005</v>
      </c>
      <c r="AB204" s="1">
        <f t="shared" si="187"/>
        <v>1353.2529999999999</v>
      </c>
      <c r="AC204" s="1">
        <f>AC159</f>
        <v>1615.5509999999999</v>
      </c>
      <c r="AD204" s="1">
        <f t="shared" si="187"/>
        <v>1603.4110000000001</v>
      </c>
      <c r="AE204" s="1">
        <f t="shared" si="187"/>
        <v>2205.415</v>
      </c>
    </row>
    <row r="205" spans="2:31">
      <c r="C205" s="1" t="s">
        <v>125</v>
      </c>
      <c r="F205" s="1">
        <f t="shared" ref="F205:J205" si="188">F158</f>
        <v>41.064999999999998</v>
      </c>
      <c r="G205" s="1">
        <f t="shared" si="188"/>
        <v>49.707000000000001</v>
      </c>
      <c r="H205" s="1">
        <f t="shared" si="188"/>
        <v>95.117999999999995</v>
      </c>
      <c r="I205" s="1">
        <f t="shared" si="188"/>
        <v>457.12400000000002</v>
      </c>
      <c r="J205" s="1">
        <f t="shared" si="188"/>
        <v>1199.6659999999999</v>
      </c>
      <c r="K205" s="1">
        <f>K158</f>
        <v>1154.2149999999999</v>
      </c>
      <c r="L205" s="1">
        <f>L216/L$2*L$5</f>
        <v>2580.8766348137515</v>
      </c>
      <c r="M205" s="1">
        <f>M216/M$2*M$5</f>
        <v>3411.9325649648317</v>
      </c>
      <c r="N205" s="1">
        <f>N216/N$2*N$5</f>
        <v>4014.354533836487</v>
      </c>
      <c r="O205" s="1">
        <f>O216/O$2*O$5</f>
        <v>4538.4579980346844</v>
      </c>
      <c r="P205" s="1">
        <f>P216/P$2*P$5</f>
        <v>5098.3937254156035</v>
      </c>
      <c r="Q205" s="1">
        <f>Q216/Q$2*Q$5</f>
        <v>5707.7343126609649</v>
      </c>
      <c r="R205" s="1">
        <f>R216/R$2*R$5</f>
        <v>6271.4924360369678</v>
      </c>
      <c r="S205" s="1">
        <f>S216/S$2*S$5</f>
        <v>6771.0583106087415</v>
      </c>
      <c r="T205" s="1">
        <f>T216/T$2*T$5</f>
        <v>7318.7315000863937</v>
      </c>
      <c r="U205" s="1">
        <f>U216/U$2*U$5</f>
        <v>7897.5453085703803</v>
      </c>
      <c r="X205" s="1">
        <f>X158</f>
        <v>0</v>
      </c>
      <c r="Y205" s="1">
        <f>Y158</f>
        <v>95.117999999999995</v>
      </c>
      <c r="Z205" s="1">
        <f>Z158</f>
        <v>325.43900000000002</v>
      </c>
      <c r="AA205" s="1">
        <f>AA158</f>
        <v>457.12400000000002</v>
      </c>
      <c r="AB205" s="1">
        <f>AB158</f>
        <v>458.13799999999998</v>
      </c>
      <c r="AC205" s="1">
        <f>AC158</f>
        <v>1199.6659999999999</v>
      </c>
      <c r="AD205" s="1">
        <f>AD158</f>
        <v>907.90800000000002</v>
      </c>
      <c r="AE205" s="1">
        <f>AE158</f>
        <v>1154.2149999999999</v>
      </c>
    </row>
    <row r="206" spans="2:31">
      <c r="C206" s="1" t="s">
        <v>103</v>
      </c>
      <c r="F206" s="1">
        <f t="shared" ref="F206:J206" si="189">F116</f>
        <v>52.719000000000001</v>
      </c>
      <c r="G206" s="1">
        <f t="shared" si="189"/>
        <v>68.397999999999996</v>
      </c>
      <c r="H206" s="1">
        <f t="shared" si="189"/>
        <v>120.848</v>
      </c>
      <c r="I206" s="1">
        <f t="shared" si="189"/>
        <v>232.749</v>
      </c>
      <c r="J206" s="1">
        <f t="shared" si="189"/>
        <v>269.26900000000001</v>
      </c>
      <c r="K206" s="1">
        <f>K116</f>
        <v>352.29</v>
      </c>
      <c r="L206" s="1">
        <f>L116</f>
        <v>460.85394453004625</v>
      </c>
      <c r="M206" s="1">
        <f>M116</f>
        <v>569.41788906009253</v>
      </c>
      <c r="N206" s="1">
        <f>N116</f>
        <v>650.84084745762721</v>
      </c>
      <c r="O206" s="1">
        <f>O116</f>
        <v>732.26380585516188</v>
      </c>
      <c r="P206" s="1">
        <f>P116</f>
        <v>813.68676425269655</v>
      </c>
      <c r="Q206" s="1">
        <f>Q116</f>
        <v>895.10972265023122</v>
      </c>
      <c r="R206" s="1">
        <f>R116</f>
        <v>949.39169491525433</v>
      </c>
      <c r="S206" s="1">
        <f>S116</f>
        <v>1003.6736671802774</v>
      </c>
      <c r="T206" s="1">
        <f>T116</f>
        <v>1057.9556394453004</v>
      </c>
      <c r="U206" s="1">
        <f>U116</f>
        <v>1112.2376117103236</v>
      </c>
      <c r="X206" s="1">
        <f>X116</f>
        <v>0</v>
      </c>
      <c r="Y206" s="1">
        <f>Y116</f>
        <v>120.848</v>
      </c>
      <c r="Z206" s="1">
        <f>Z116</f>
        <v>163.96199999999999</v>
      </c>
      <c r="AA206" s="1">
        <f>AA116</f>
        <v>232.749</v>
      </c>
      <c r="AB206" s="1">
        <f>AB116</f>
        <v>229.72900000000001</v>
      </c>
      <c r="AC206" s="1">
        <f>AC116</f>
        <v>269.26900000000001</v>
      </c>
      <c r="AD206" s="1">
        <f>AD116</f>
        <v>301.26600000000002</v>
      </c>
      <c r="AE206" s="1">
        <f>AE116</f>
        <v>352.29</v>
      </c>
    </row>
    <row r="207" spans="2:31">
      <c r="C207" s="1" t="s">
        <v>156</v>
      </c>
      <c r="F207" s="1">
        <f t="shared" ref="F207:J208" si="190">-F174</f>
        <v>-100.27200000000001</v>
      </c>
      <c r="G207" s="1">
        <f t="shared" si="190"/>
        <v>-119.768</v>
      </c>
      <c r="H207" s="1">
        <f t="shared" si="190"/>
        <v>-168.71899999999999</v>
      </c>
      <c r="I207" s="1">
        <f t="shared" si="190"/>
        <v>-729.32799999999997</v>
      </c>
      <c r="J207" s="1">
        <f t="shared" si="190"/>
        <v>-1406.4079999999999</v>
      </c>
      <c r="K207" s="1">
        <f>-K174</f>
        <v>-1582.5709999999999</v>
      </c>
      <c r="L207" s="1">
        <f>L217/L$2*L$5</f>
        <v>-3538.6999101847</v>
      </c>
      <c r="M207" s="1">
        <f>M217/M$2*M$5</f>
        <v>-4678.1800022257194</v>
      </c>
      <c r="N207" s="1">
        <f>N217/N$2*N$5</f>
        <v>-5504.1747585745661</v>
      </c>
      <c r="O207" s="1">
        <f>O217/O$2*O$5</f>
        <v>-6222.7851937531123</v>
      </c>
      <c r="P207" s="1">
        <f>P217/P$2*P$5</f>
        <v>-6990.5260773986629</v>
      </c>
      <c r="Q207" s="1">
        <f>Q217/Q$2*Q$5</f>
        <v>-7826.0071121257088</v>
      </c>
      <c r="R207" s="1">
        <f>R217/R$2*R$5</f>
        <v>-8598.988971717974</v>
      </c>
      <c r="S207" s="1">
        <f>S217/S$2*S$5</f>
        <v>-9283.9553477284444</v>
      </c>
      <c r="T207" s="1">
        <f>T217/T$2*T$5</f>
        <v>-10034.882780784535</v>
      </c>
      <c r="U207" s="1">
        <f>U217/U$2*U$5</f>
        <v>-10828.507839986081</v>
      </c>
      <c r="X207" s="1">
        <f>-X174-X175</f>
        <v>0</v>
      </c>
      <c r="Y207" s="1">
        <f>-Y174-Y175</f>
        <v>-679.45399999999995</v>
      </c>
      <c r="Z207" s="1">
        <f>-Z174-Z175</f>
        <v>-1001.227</v>
      </c>
      <c r="AA207" s="1">
        <f>-AA174-AA175</f>
        <v>-1635.7919999999999</v>
      </c>
      <c r="AB207" s="1">
        <f>-AB174-AB175</f>
        <v>-2118.3110000000001</v>
      </c>
      <c r="AC207" s="1">
        <f>-AC174-AC175</f>
        <v>-2983.3969999999999</v>
      </c>
      <c r="AD207" s="1">
        <f>-AD174-AD175</f>
        <v>-2952.538</v>
      </c>
      <c r="AE207" s="1">
        <f>-AE174-AE175</f>
        <v>-3831.337</v>
      </c>
    </row>
    <row r="208" spans="2:31">
      <c r="C208" s="1" t="s">
        <v>136</v>
      </c>
      <c r="F208" s="1">
        <f t="shared" si="190"/>
        <v>-284.74299999999999</v>
      </c>
      <c r="G208" s="1">
        <f t="shared" si="190"/>
        <v>-363.97899999999998</v>
      </c>
      <c r="H208" s="1">
        <f t="shared" si="190"/>
        <v>-510.73500000000001</v>
      </c>
      <c r="I208" s="1">
        <f t="shared" si="190"/>
        <v>-906.46400000000006</v>
      </c>
      <c r="J208" s="1">
        <f t="shared" si="190"/>
        <v>-1576.989</v>
      </c>
      <c r="K208" s="1">
        <f>-K175</f>
        <v>-2248.7660000000001</v>
      </c>
      <c r="L208" s="1">
        <f>L218/L$2*L$5</f>
        <v>-5028.3418830664832</v>
      </c>
      <c r="M208" s="1">
        <f>M218/M$2*M$5</f>
        <v>-6647.4945711030487</v>
      </c>
      <c r="N208" s="1">
        <f>N218/N$2*N$5</f>
        <v>-7821.1979463421821</v>
      </c>
      <c r="O208" s="1">
        <f>O218/O$2*O$5</f>
        <v>-8842.3127739705906</v>
      </c>
      <c r="P208" s="1">
        <f>P218/P$2*P$5</f>
        <v>-9933.2398767369559</v>
      </c>
      <c r="Q208" s="1">
        <f>Q218/Q$2*Q$5</f>
        <v>-11120.422849595047</v>
      </c>
      <c r="R208" s="1">
        <f>R218/R$2*R$5</f>
        <v>-12218.797156003959</v>
      </c>
      <c r="S208" s="1">
        <f>S218/S$2*S$5</f>
        <v>-13192.105208227564</v>
      </c>
      <c r="T208" s="1">
        <f>T218/T$2*T$5</f>
        <v>-14259.141113677502</v>
      </c>
      <c r="U208" s="1">
        <f>U218/U$2*U$5</f>
        <v>-15386.84852767689</v>
      </c>
    </row>
    <row r="209" spans="3:31">
      <c r="C209" s="1" t="s">
        <v>142</v>
      </c>
      <c r="F209" s="1">
        <f t="shared" ref="F209:J209" si="191">-F181</f>
        <v>-245.20400000000001</v>
      </c>
      <c r="G209" s="1">
        <f t="shared" si="191"/>
        <v>-273.24900000000002</v>
      </c>
      <c r="H209" s="1">
        <f t="shared" si="191"/>
        <v>-308.57900000000001</v>
      </c>
      <c r="I209" s="1">
        <f t="shared" si="191"/>
        <v>-378.03899999999999</v>
      </c>
      <c r="J209" s="1">
        <f t="shared" si="191"/>
        <v>-502.78399999999999</v>
      </c>
      <c r="K209" s="1">
        <f>-K181</f>
        <v>-642.55999999999995</v>
      </c>
      <c r="L209" s="1">
        <f>L219/L$2*L$5</f>
        <v>-1436.7930502254123</v>
      </c>
      <c r="M209" s="1">
        <f t="shared" ref="M209:U209" si="192">M219/M$2*M$5</f>
        <v>-1899.4480135363015</v>
      </c>
      <c r="N209" s="1">
        <f t="shared" si="192"/>
        <v>-2234.8207649891688</v>
      </c>
      <c r="O209" s="1">
        <f t="shared" si="192"/>
        <v>-2526.5930274837588</v>
      </c>
      <c r="P209" s="1">
        <f t="shared" si="192"/>
        <v>-2838.3133750670809</v>
      </c>
      <c r="Q209" s="1">
        <f t="shared" si="192"/>
        <v>-3177.5377723764027</v>
      </c>
      <c r="R209" s="1">
        <f t="shared" si="192"/>
        <v>-3491.3860759909671</v>
      </c>
      <c r="S209" s="1">
        <f t="shared" si="192"/>
        <v>-3769.498081436087</v>
      </c>
      <c r="T209" s="1">
        <f t="shared" si="192"/>
        <v>-4074.3917837625686</v>
      </c>
      <c r="U209" s="1">
        <f t="shared" si="192"/>
        <v>-4396.6216982754368</v>
      </c>
      <c r="X209" s="1">
        <f>-X181</f>
        <v>0</v>
      </c>
      <c r="Y209" s="1">
        <f>-Y181</f>
        <v>-308.57900000000001</v>
      </c>
      <c r="Z209" s="1">
        <f>-Z181</f>
        <v>-372.42599999999999</v>
      </c>
      <c r="AA209" s="1">
        <f>-AA181</f>
        <v>-378.03899999999999</v>
      </c>
      <c r="AB209" s="1">
        <f>-AB181</f>
        <v>-436.80900000000003</v>
      </c>
      <c r="AC209" s="1">
        <f>-AC181</f>
        <v>-502.78399999999999</v>
      </c>
      <c r="AD209" s="1">
        <f>-AD181</f>
        <v>-538.64300000000003</v>
      </c>
      <c r="AE209" s="1">
        <f>-AE181</f>
        <v>-642.55999999999995</v>
      </c>
    </row>
    <row r="210" spans="3:31">
      <c r="C210" s="1" t="s">
        <v>157</v>
      </c>
      <c r="F210" s="1">
        <f t="shared" ref="F210:J210" si="193">F110+F114+F116+F163-F176-F178-F185-F188</f>
        <v>943.46100000000001</v>
      </c>
      <c r="G210" s="1">
        <f t="shared" si="193"/>
        <v>687.93299999999988</v>
      </c>
      <c r="H210" s="1">
        <f t="shared" si="193"/>
        <v>-681.77599999999984</v>
      </c>
      <c r="I210" s="1">
        <f t="shared" si="193"/>
        <v>-236.84800000000004</v>
      </c>
      <c r="J210" s="1">
        <f t="shared" si="193"/>
        <v>-651.80499999999995</v>
      </c>
      <c r="K210" s="1">
        <f>K110+K114+K116+K163-K176-K178-K185-K188</f>
        <v>297.75099999999998</v>
      </c>
      <c r="L210" s="1">
        <f t="shared" ref="L210:U210" si="194">L110+L114+L116+L163-L176-L178-L185-L188</f>
        <v>406.3149445300462</v>
      </c>
      <c r="M210" s="1">
        <f t="shared" si="194"/>
        <v>514.87888906009243</v>
      </c>
      <c r="N210" s="1">
        <f t="shared" si="194"/>
        <v>596.30184745762722</v>
      </c>
      <c r="O210" s="1">
        <f t="shared" si="194"/>
        <v>677.72480585516178</v>
      </c>
      <c r="P210" s="1">
        <f t="shared" si="194"/>
        <v>759.14776425269645</v>
      </c>
      <c r="Q210" s="1">
        <f t="shared" si="194"/>
        <v>840.57072265023123</v>
      </c>
      <c r="R210" s="1">
        <f t="shared" si="194"/>
        <v>894.85269491525412</v>
      </c>
      <c r="S210" s="1">
        <f t="shared" si="194"/>
        <v>949.13466718027746</v>
      </c>
      <c r="T210" s="1">
        <f t="shared" si="194"/>
        <v>1003.4166394453005</v>
      </c>
      <c r="U210" s="1">
        <f t="shared" si="194"/>
        <v>1057.6986117103238</v>
      </c>
      <c r="X210" s="1">
        <f>X114-X178-X185-X188</f>
        <v>0</v>
      </c>
      <c r="Y210" s="1">
        <f>Y114-Y178-Y185-Y188</f>
        <v>-44.249000000000002</v>
      </c>
      <c r="Z210" s="1">
        <f>Z114-Z178-Z185-Z188</f>
        <v>-4.4489999999999945</v>
      </c>
      <c r="AA210" s="1">
        <f>AA114-AA178-AA185-AA188</f>
        <v>-78.194999999999979</v>
      </c>
      <c r="AB210" s="1">
        <f>AB114-AB178-AB185-AB188</f>
        <v>26.454000000000001</v>
      </c>
      <c r="AC210" s="1">
        <f>AC114-AC178-AC185-AC188</f>
        <v>-150.24199999999996</v>
      </c>
      <c r="AD210" s="1">
        <f>AD114-AD178-AD185-AD188</f>
        <v>107.90600000000001</v>
      </c>
      <c r="AE210" s="1">
        <f>AE114-AE178-AE185-AE188</f>
        <v>64.824999999999974</v>
      </c>
    </row>
    <row r="212" spans="3:31" s="23" customFormat="1">
      <c r="C212" s="23" t="s">
        <v>158</v>
      </c>
      <c r="F212" s="23">
        <f>F204/F$5*F$2</f>
        <v>11.125791732112354</v>
      </c>
      <c r="G212" s="23">
        <f>G204/G$5*G$2</f>
        <v>11.563496277898473</v>
      </c>
      <c r="H212" s="23">
        <f>H204/H$5*H$2</f>
        <v>17.075015253117133</v>
      </c>
      <c r="I212" s="23">
        <f>I204/I$5*I$2</f>
        <v>18.178222180315988</v>
      </c>
      <c r="J212" s="23">
        <f>J204/J$5*J$2</f>
        <v>22.205179005770191</v>
      </c>
      <c r="K212" s="23">
        <f>K204/K$5*K$2</f>
        <v>28.209082850488329</v>
      </c>
      <c r="L212" s="28">
        <f>K212</f>
        <v>28.209082850488329</v>
      </c>
      <c r="M212" s="28">
        <f t="shared" ref="M212:U212" si="195">L212</f>
        <v>28.209082850488329</v>
      </c>
      <c r="N212" s="28">
        <f t="shared" si="195"/>
        <v>28.209082850488329</v>
      </c>
      <c r="O212" s="28">
        <f t="shared" si="195"/>
        <v>28.209082850488329</v>
      </c>
      <c r="P212" s="28">
        <f t="shared" si="195"/>
        <v>28.209082850488329</v>
      </c>
      <c r="Q212" s="28">
        <f t="shared" si="195"/>
        <v>28.209082850488329</v>
      </c>
      <c r="R212" s="28">
        <f t="shared" si="195"/>
        <v>28.209082850488329</v>
      </c>
      <c r="S212" s="28">
        <f t="shared" si="195"/>
        <v>28.209082850488329</v>
      </c>
      <c r="T212" s="28">
        <f t="shared" si="195"/>
        <v>28.209082850488329</v>
      </c>
      <c r="U212" s="28">
        <f t="shared" si="195"/>
        <v>28.209082850488329</v>
      </c>
    </row>
    <row r="213" spans="3:31" s="23" customFormat="1">
      <c r="D213" s="23" t="s">
        <v>159</v>
      </c>
      <c r="F213" s="23">
        <f>F160/F$5*F$2</f>
        <v>1.8759512858274958</v>
      </c>
      <c r="G213" s="23">
        <f>G160/G$5*G$2</f>
        <v>2.9834324792262392</v>
      </c>
      <c r="H213" s="23">
        <f>H160/H$5*H$2</f>
        <v>5.9345779939589196</v>
      </c>
      <c r="I213" s="23">
        <f>I160/I$5*I$2</f>
        <v>3.2284531884425225</v>
      </c>
      <c r="J213" s="23">
        <f>J160/J$5*J$2</f>
        <v>2.7980116352771551</v>
      </c>
    </row>
    <row r="214" spans="3:31" s="23" customFormat="1">
      <c r="D214" s="23" t="s">
        <v>160</v>
      </c>
      <c r="F214" s="23">
        <f>F161/F$5*F$2</f>
        <v>1.8789947056307783</v>
      </c>
      <c r="G214" s="23">
        <f>G161/G$5*G$2</f>
        <v>0.77398425090353284</v>
      </c>
      <c r="H214" s="23">
        <f>H161/H$5*H$2</f>
        <v>1.6680202535072766</v>
      </c>
      <c r="I214" s="23">
        <f>I161/I$5*I$2</f>
        <v>5.7439463495412255</v>
      </c>
      <c r="J214" s="23">
        <f>J161/J$5*J$2</f>
        <v>7.6177784492362344</v>
      </c>
    </row>
    <row r="215" spans="3:31" s="23" customFormat="1">
      <c r="D215" s="23" t="s">
        <v>161</v>
      </c>
      <c r="F215" s="23">
        <f>F162/F$5*F$2</f>
        <v>7.3708457406540786</v>
      </c>
      <c r="G215" s="23">
        <f>G162/G$5*G$2</f>
        <v>7.8060795477686993</v>
      </c>
      <c r="H215" s="23">
        <f>H162/H$5*H$2</f>
        <v>9.4724170056509376</v>
      </c>
      <c r="I215" s="23">
        <f>I162/I$5*I$2</f>
        <v>9.2058226423322402</v>
      </c>
      <c r="J215" s="23">
        <f>J162/J$5*J$2</f>
        <v>11.789388921256801</v>
      </c>
    </row>
    <row r="216" spans="3:31" s="23" customFormat="1">
      <c r="C216" s="23" t="s">
        <v>162</v>
      </c>
      <c r="F216" s="23">
        <f>F205/F$5*F$2</f>
        <v>2.6037090462874275</v>
      </c>
      <c r="G216" s="23">
        <f>G205/G$5*G$2</f>
        <v>2.3301093307287202</v>
      </c>
      <c r="H216" s="23">
        <f>H205/H$5*H$2</f>
        <v>3.2638446128058494</v>
      </c>
      <c r="I216" s="23">
        <f>I205/I$5*I$2</f>
        <v>9.8325933608735898</v>
      </c>
      <c r="J216" s="23">
        <f>J205/J$5*J$2</f>
        <v>16.488986282163982</v>
      </c>
      <c r="K216" s="23">
        <f>K205/K$5*K$2</f>
        <v>14.763364973157607</v>
      </c>
      <c r="L216" s="28">
        <f>K216</f>
        <v>14.763364973157607</v>
      </c>
      <c r="M216" s="28">
        <f t="shared" ref="M216:U219" si="196">L216</f>
        <v>14.763364973157607</v>
      </c>
      <c r="N216" s="28">
        <f t="shared" si="196"/>
        <v>14.763364973157607</v>
      </c>
      <c r="O216" s="28">
        <f t="shared" si="196"/>
        <v>14.763364973157607</v>
      </c>
      <c r="P216" s="28">
        <f t="shared" si="196"/>
        <v>14.763364973157607</v>
      </c>
      <c r="Q216" s="28">
        <f t="shared" si="196"/>
        <v>14.763364973157607</v>
      </c>
      <c r="R216" s="28">
        <f t="shared" si="196"/>
        <v>14.763364973157607</v>
      </c>
      <c r="S216" s="28">
        <f t="shared" si="196"/>
        <v>14.763364973157607</v>
      </c>
      <c r="T216" s="28">
        <f t="shared" si="196"/>
        <v>14.763364973157607</v>
      </c>
      <c r="U216" s="28">
        <f t="shared" si="196"/>
        <v>14.763364973157607</v>
      </c>
    </row>
    <row r="217" spans="3:31" s="23" customFormat="1">
      <c r="C217" s="23" t="s">
        <v>163</v>
      </c>
      <c r="F217" s="23">
        <f>F207/F$5*F$2</f>
        <v>-6.3577039690571766</v>
      </c>
      <c r="G217" s="23">
        <f>G207/G$5*G$2</f>
        <v>-5.6143507820370848</v>
      </c>
      <c r="H217" s="23">
        <f>H207/H$5*H$2</f>
        <v>-5.7893626782311465</v>
      </c>
      <c r="I217" s="23">
        <f>I207/I$5*I$2</f>
        <v>-15.687615725053186</v>
      </c>
      <c r="J217" s="23">
        <f>J207/J$5*J$2</f>
        <v>-19.330582194648908</v>
      </c>
      <c r="K217" s="23">
        <f>K207/K$5*K$2</f>
        <v>-20.242392681549806</v>
      </c>
      <c r="L217" s="28">
        <f>K217</f>
        <v>-20.242392681549806</v>
      </c>
      <c r="M217" s="28">
        <f t="shared" si="196"/>
        <v>-20.242392681549806</v>
      </c>
      <c r="N217" s="28">
        <f t="shared" si="196"/>
        <v>-20.242392681549806</v>
      </c>
      <c r="O217" s="28">
        <f t="shared" si="196"/>
        <v>-20.242392681549806</v>
      </c>
      <c r="P217" s="28">
        <f t="shared" si="196"/>
        <v>-20.242392681549806</v>
      </c>
      <c r="Q217" s="28">
        <f t="shared" si="196"/>
        <v>-20.242392681549806</v>
      </c>
      <c r="R217" s="28">
        <f t="shared" si="196"/>
        <v>-20.242392681549806</v>
      </c>
      <c r="S217" s="28">
        <f t="shared" si="196"/>
        <v>-20.242392681549806</v>
      </c>
      <c r="T217" s="28">
        <f t="shared" si="196"/>
        <v>-20.242392681549806</v>
      </c>
      <c r="U217" s="28">
        <f t="shared" si="196"/>
        <v>-20.242392681549806</v>
      </c>
    </row>
    <row r="218" spans="3:31" s="23" customFormat="1">
      <c r="C218" s="23" t="s">
        <v>164</v>
      </c>
      <c r="F218" s="23">
        <f>F208/F$5*F$2</f>
        <v>-18.05401010512653</v>
      </c>
      <c r="G218" s="23">
        <f>G208/G$5*G$2</f>
        <v>-17.062201784241836</v>
      </c>
      <c r="H218" s="23">
        <f>H208/H$5*H$2</f>
        <v>-17.525175869145649</v>
      </c>
      <c r="I218" s="23">
        <f>I208/I$5*I$2</f>
        <v>-19.497755331750067</v>
      </c>
      <c r="J218" s="23">
        <f>J208/J$5*J$2</f>
        <v>-21.675157909054267</v>
      </c>
      <c r="K218" s="23">
        <f>K208/K$5*K$2</f>
        <v>-28.763578013825622</v>
      </c>
      <c r="L218" s="28">
        <f>K218</f>
        <v>-28.763578013825622</v>
      </c>
      <c r="M218" s="28">
        <f t="shared" si="196"/>
        <v>-28.763578013825622</v>
      </c>
      <c r="N218" s="28">
        <f t="shared" si="196"/>
        <v>-28.763578013825622</v>
      </c>
      <c r="O218" s="28">
        <f t="shared" si="196"/>
        <v>-28.763578013825622</v>
      </c>
      <c r="P218" s="28">
        <f t="shared" si="196"/>
        <v>-28.763578013825622</v>
      </c>
      <c r="Q218" s="28">
        <f t="shared" si="196"/>
        <v>-28.763578013825622</v>
      </c>
      <c r="R218" s="28">
        <f t="shared" si="196"/>
        <v>-28.763578013825622</v>
      </c>
      <c r="S218" s="28">
        <f t="shared" si="196"/>
        <v>-28.763578013825622</v>
      </c>
      <c r="T218" s="28">
        <f t="shared" si="196"/>
        <v>-28.763578013825622</v>
      </c>
      <c r="U218" s="28">
        <f t="shared" si="196"/>
        <v>-28.763578013825622</v>
      </c>
    </row>
    <row r="219" spans="3:31" s="23" customFormat="1">
      <c r="C219" s="23" t="s">
        <v>165</v>
      </c>
      <c r="F219" s="23">
        <f>F209/F$5*F$2</f>
        <v>-15.547056446751794</v>
      </c>
      <c r="G219" s="23">
        <f t="shared" ref="G219:K219" si="197">G209/G$5*G$2</f>
        <v>-12.809061993527918</v>
      </c>
      <c r="H219" s="23">
        <f t="shared" si="197"/>
        <v>-10.588468079385777</v>
      </c>
      <c r="I219" s="23">
        <f t="shared" si="197"/>
        <v>-8.1314999027644372</v>
      </c>
      <c r="J219" s="23">
        <f t="shared" si="197"/>
        <v>-6.910588846305167</v>
      </c>
      <c r="K219" s="23">
        <f t="shared" si="197"/>
        <v>-8.218874124103527</v>
      </c>
      <c r="L219" s="28">
        <f>K219</f>
        <v>-8.218874124103527</v>
      </c>
      <c r="M219" s="28">
        <f t="shared" si="196"/>
        <v>-8.218874124103527</v>
      </c>
      <c r="N219" s="28">
        <f t="shared" si="196"/>
        <v>-8.218874124103527</v>
      </c>
      <c r="O219" s="28">
        <f t="shared" si="196"/>
        <v>-8.218874124103527</v>
      </c>
      <c r="P219" s="28">
        <f t="shared" si="196"/>
        <v>-8.218874124103527</v>
      </c>
      <c r="Q219" s="28">
        <f t="shared" si="196"/>
        <v>-8.218874124103527</v>
      </c>
      <c r="R219" s="28">
        <f t="shared" si="196"/>
        <v>-8.218874124103527</v>
      </c>
      <c r="S219" s="28">
        <f t="shared" si="196"/>
        <v>-8.218874124103527</v>
      </c>
      <c r="T219" s="28">
        <f t="shared" si="196"/>
        <v>-8.218874124103527</v>
      </c>
      <c r="U219" s="28">
        <f t="shared" si="196"/>
        <v>-8.218874124103527</v>
      </c>
    </row>
    <row r="220" spans="3:31" s="29" customFormat="1">
      <c r="C220" s="29" t="s">
        <v>166</v>
      </c>
      <c r="F220" s="29">
        <f>F203/F$5*F$2</f>
        <v>36.933103999838799</v>
      </c>
      <c r="G220" s="29">
        <f>G203/G$5*G$2</f>
        <v>13.862432479994711</v>
      </c>
      <c r="H220" s="29">
        <f>H203/H$5*H$2</f>
        <v>-32.811627058700765</v>
      </c>
      <c r="I220" s="29">
        <f>I203/I$5*I$2</f>
        <v>-15.394223618223712</v>
      </c>
      <c r="J220" s="29">
        <f>J203/J$5*J$2</f>
        <v>-14.479986136357748</v>
      </c>
      <c r="K220" s="29">
        <f>K203/K$5*K$2</f>
        <v>-5.9378346911355875</v>
      </c>
      <c r="L220" s="29">
        <f>L203/L$5*L$2</f>
        <v>-9.2919387430558054</v>
      </c>
      <c r="M220" s="29">
        <f>M203/M$5*M$2</f>
        <v>-9.5606662040281822</v>
      </c>
      <c r="N220" s="29">
        <f>N203/N$5*N$2</f>
        <v>-9.6658507345477602</v>
      </c>
      <c r="O220" s="29">
        <f>O203/O$5*O$2</f>
        <v>-9.6657782606393763</v>
      </c>
      <c r="P220" s="29">
        <f>P203/P$5*P$2</f>
        <v>-9.6979566294573267</v>
      </c>
      <c r="Q220" s="29">
        <f>Q203/Q$5*Q$2</f>
        <v>-9.7629652025726177</v>
      </c>
      <c r="R220" s="29">
        <f>R203/R$5*R$2</f>
        <v>-9.9109657807821794</v>
      </c>
      <c r="S220" s="29">
        <f>S203/S$5*S$2</f>
        <v>-9.9945659685003161</v>
      </c>
      <c r="T220" s="29">
        <f>T203/T$5*T$2</f>
        <v>-10.094191260528707</v>
      </c>
      <c r="U220" s="29">
        <f>U203/U$5*U$2</f>
        <v>-10.196002358872921</v>
      </c>
    </row>
    <row r="226" spans="2:31" s="4" customFormat="1">
      <c r="B226" s="4" t="s">
        <v>167</v>
      </c>
      <c r="C226" s="4" t="s">
        <v>3</v>
      </c>
      <c r="F226" s="5" t="s">
        <v>4</v>
      </c>
      <c r="G226" s="5" t="s">
        <v>5</v>
      </c>
      <c r="H226" s="5" t="s">
        <v>6</v>
      </c>
      <c r="I226" s="5" t="s">
        <v>7</v>
      </c>
      <c r="J226" s="5" t="s">
        <v>8</v>
      </c>
      <c r="K226" s="5" t="s">
        <v>168</v>
      </c>
      <c r="L226" s="5" t="s">
        <v>10</v>
      </c>
      <c r="M226" s="5" t="s">
        <v>11</v>
      </c>
      <c r="N226" s="5" t="s">
        <v>12</v>
      </c>
      <c r="O226" s="5" t="s">
        <v>13</v>
      </c>
      <c r="P226" s="5" t="s">
        <v>14</v>
      </c>
      <c r="Q226" s="5" t="s">
        <v>15</v>
      </c>
      <c r="R226" s="5" t="s">
        <v>16</v>
      </c>
      <c r="S226" s="5" t="s">
        <v>17</v>
      </c>
      <c r="T226" s="5" t="s">
        <v>18</v>
      </c>
      <c r="U226" s="5" t="s">
        <v>19</v>
      </c>
      <c r="X226" s="5" t="s">
        <v>20</v>
      </c>
      <c r="Y226" s="5" t="s">
        <v>21</v>
      </c>
      <c r="Z226" s="5" t="s">
        <v>22</v>
      </c>
      <c r="AA226" s="5" t="s">
        <v>23</v>
      </c>
      <c r="AB226" s="5" t="s">
        <v>24</v>
      </c>
      <c r="AC226" s="5" t="s">
        <v>25</v>
      </c>
      <c r="AD226" s="5" t="s">
        <v>26</v>
      </c>
      <c r="AE226" s="5" t="s">
        <v>27</v>
      </c>
    </row>
    <row r="227" spans="2:31" s="6" customFormat="1">
      <c r="B227" s="6" t="s">
        <v>169</v>
      </c>
      <c r="F227" s="7">
        <v>641.98900000000003</v>
      </c>
      <c r="G227" s="7">
        <v>1414.0609999999999</v>
      </c>
      <c r="H227" s="7">
        <v>1399.7159999999999</v>
      </c>
      <c r="I227" s="7">
        <v>2384.9070000000002</v>
      </c>
      <c r="J227" s="7">
        <v>4580.4840000000004</v>
      </c>
      <c r="K227" s="6">
        <f>K228+K229+K230+K231+K232+K233+K234</f>
        <v>3542.7522005415267</v>
      </c>
      <c r="L227" s="6">
        <f t="shared" ref="L227:U227" si="198">L228+L229+L230+L231+L232+L233+L234</f>
        <v>10475.088485102478</v>
      </c>
      <c r="M227" s="6">
        <f t="shared" si="198"/>
        <v>14378.827695741358</v>
      </c>
      <c r="N227" s="6">
        <f t="shared" si="198"/>
        <v>17230.133115286317</v>
      </c>
      <c r="O227" s="6">
        <f t="shared" si="198"/>
        <v>19426.309267984761</v>
      </c>
      <c r="P227" s="6">
        <f t="shared" si="198"/>
        <v>21775.332968513383</v>
      </c>
      <c r="Q227" s="6">
        <f t="shared" si="198"/>
        <v>24680.365634235255</v>
      </c>
      <c r="R227" s="6">
        <f t="shared" si="198"/>
        <v>27559.480802980783</v>
      </c>
      <c r="S227" s="6">
        <f t="shared" si="198"/>
        <v>29719.875132819307</v>
      </c>
      <c r="T227" s="6">
        <f t="shared" si="198"/>
        <v>31951.261332408863</v>
      </c>
      <c r="U227" s="6">
        <f t="shared" si="198"/>
        <v>34514.091951259368</v>
      </c>
      <c r="X227" s="7">
        <v>617.03899999999999</v>
      </c>
      <c r="Y227" s="6">
        <f>H227-X227</f>
        <v>782.67699999999991</v>
      </c>
      <c r="Z227" s="7">
        <v>1002.908</v>
      </c>
      <c r="AA227" s="6">
        <f>I227-Z227</f>
        <v>1381.9990000000003</v>
      </c>
      <c r="AB227" s="7">
        <v>1467.6420000000001</v>
      </c>
      <c r="AC227" s="6">
        <f>J227-AB227</f>
        <v>3112.8420000000006</v>
      </c>
      <c r="AD227" s="7">
        <v>336.76499999999999</v>
      </c>
    </row>
    <row r="228" spans="2:31">
      <c r="C228" s="1" t="s">
        <v>81</v>
      </c>
      <c r="F228" s="1">
        <f>F87</f>
        <v>410.68200000000007</v>
      </c>
      <c r="G228" s="1">
        <f>G87</f>
        <v>978.19099999999935</v>
      </c>
      <c r="H228" s="1">
        <f>H87</f>
        <v>1194.3420000000008</v>
      </c>
      <c r="I228" s="1">
        <f>I87</f>
        <v>1648.8459999999991</v>
      </c>
      <c r="J228" s="1">
        <f>J87</f>
        <v>2346.9620000000014</v>
      </c>
      <c r="K228" s="1">
        <f t="shared" ref="K228:U228" si="199">K87</f>
        <v>309.54600000000232</v>
      </c>
      <c r="L228" s="1">
        <f t="shared" si="199"/>
        <v>4041.4655375406187</v>
      </c>
      <c r="M228" s="1">
        <f t="shared" si="199"/>
        <v>6763.2044249047094</v>
      </c>
      <c r="N228" s="1">
        <f t="shared" si="199"/>
        <v>7730.3918811298772</v>
      </c>
      <c r="O228" s="1">
        <f t="shared" si="199"/>
        <v>8082.4307061687268</v>
      </c>
      <c r="P228" s="1">
        <f t="shared" si="199"/>
        <v>8348.7501323002216</v>
      </c>
      <c r="Q228" s="1">
        <f t="shared" si="199"/>
        <v>9012.6197593904508</v>
      </c>
      <c r="R228" s="1">
        <f t="shared" si="199"/>
        <v>9521.0768443298002</v>
      </c>
      <c r="S228" s="1">
        <f t="shared" si="199"/>
        <v>9526.4022230414157</v>
      </c>
      <c r="T228" s="1">
        <f t="shared" si="199"/>
        <v>9415.4476268257695</v>
      </c>
      <c r="U228" s="1">
        <f t="shared" si="199"/>
        <v>9535.7530759142683</v>
      </c>
      <c r="X228" s="1">
        <f>X87</f>
        <v>553.14799999999991</v>
      </c>
      <c r="Y228" s="1">
        <f>Y87</f>
        <v>641.1940000000003</v>
      </c>
      <c r="Z228" s="1">
        <f>Z87</f>
        <v>647.41099999999938</v>
      </c>
      <c r="AA228" s="1">
        <f>AA87</f>
        <v>1001.4349999999974</v>
      </c>
      <c r="AB228" s="1">
        <f>AB87</f>
        <v>912.16500000000042</v>
      </c>
      <c r="AC228" s="1">
        <f>AC87</f>
        <v>1434.7970000000016</v>
      </c>
      <c r="AD228" s="1">
        <f>AD87</f>
        <v>-964.50700000000052</v>
      </c>
    </row>
    <row r="229" spans="2:31">
      <c r="C229" s="30" t="s">
        <v>170</v>
      </c>
      <c r="F229" s="2">
        <v>236.04900000000001</v>
      </c>
      <c r="G229" s="2">
        <v>281.39499999999998</v>
      </c>
      <c r="H229" s="2">
        <v>355.37700000000001</v>
      </c>
      <c r="I229" s="2">
        <v>679.59</v>
      </c>
      <c r="J229" s="2">
        <v>1233.117</v>
      </c>
      <c r="K229" s="1">
        <f>-K126</f>
        <v>2370.6547099594654</v>
      </c>
      <c r="L229" s="1">
        <f>-L126</f>
        <v>4106.53024849127</v>
      </c>
      <c r="M229" s="1">
        <f>-M126</f>
        <v>5823.5546724001697</v>
      </c>
      <c r="N229" s="1">
        <f>-N126</f>
        <v>7757.0729645983884</v>
      </c>
      <c r="O229" s="1">
        <f>-O126</f>
        <v>9663.2987612078286</v>
      </c>
      <c r="P229" s="1">
        <f>-P126</f>
        <v>11693.910809041023</v>
      </c>
      <c r="Q229" s="1">
        <f>-Q126</f>
        <v>13872.873570644433</v>
      </c>
      <c r="R229" s="1">
        <f>-R126</f>
        <v>16221.214440666601</v>
      </c>
      <c r="S229" s="1">
        <f>-S126</f>
        <v>18511.583004863402</v>
      </c>
      <c r="T229" s="1">
        <f>-T126</f>
        <v>20868.606893348922</v>
      </c>
      <c r="U229" s="1">
        <f>-U126</f>
        <v>23332.017942043167</v>
      </c>
      <c r="X229" s="2">
        <v>160.77199999999999</v>
      </c>
      <c r="Y229" s="1">
        <f>H229-X229</f>
        <v>194.60500000000002</v>
      </c>
      <c r="Z229" s="2">
        <v>289.68599999999998</v>
      </c>
      <c r="AA229" s="1">
        <f>I229-Z229</f>
        <v>389.90400000000005</v>
      </c>
      <c r="AB229" s="2">
        <v>534.12699999999995</v>
      </c>
      <c r="AC229" s="1">
        <f>J229-AB229</f>
        <v>698.99</v>
      </c>
      <c r="AD229" s="2">
        <v>895.13499999999999</v>
      </c>
    </row>
    <row r="230" spans="2:31">
      <c r="C230" s="30" t="s">
        <v>171</v>
      </c>
      <c r="F230" s="2">
        <v>3.13</v>
      </c>
      <c r="G230" s="2">
        <v>4.5229999999999997</v>
      </c>
      <c r="H230" s="2">
        <v>4.4619999999999997</v>
      </c>
      <c r="I230" s="2">
        <v>9.7309999999999999</v>
      </c>
      <c r="J230" s="2">
        <v>20.158999999999999</v>
      </c>
      <c r="K230" s="1">
        <f>-K137</f>
        <v>43.520657248726259</v>
      </c>
      <c r="L230" s="1">
        <f>-L137</f>
        <v>46.041443695440158</v>
      </c>
      <c r="M230" s="1">
        <f>-M137</f>
        <v>47.581518895062317</v>
      </c>
      <c r="N230" s="1">
        <f>-N137</f>
        <v>48.522428278157086</v>
      </c>
      <c r="O230" s="1">
        <f>-O137</f>
        <v>49.097277134507081</v>
      </c>
      <c r="P230" s="1">
        <f>-P137</f>
        <v>49.448481207485919</v>
      </c>
      <c r="Q230" s="1">
        <f>-Q137</f>
        <v>49.663049436185396</v>
      </c>
      <c r="R230" s="1">
        <f>-R137</f>
        <v>49.794139956795604</v>
      </c>
      <c r="S230" s="1">
        <f>-S137</f>
        <v>49.874229747805273</v>
      </c>
      <c r="T230" s="1">
        <f>-T137</f>
        <v>49.92316062849838</v>
      </c>
      <c r="U230" s="1">
        <f>-U137</f>
        <v>49.953054964033754</v>
      </c>
      <c r="X230" s="2">
        <v>2.2250000000000001</v>
      </c>
      <c r="Y230" s="1">
        <f>H230-X230</f>
        <v>2.2369999999999997</v>
      </c>
      <c r="Z230" s="2">
        <v>3.8839999999999999</v>
      </c>
      <c r="AA230" s="1">
        <f>I230-Z230</f>
        <v>5.8469999999999995</v>
      </c>
      <c r="AB230" s="2">
        <v>8.24</v>
      </c>
      <c r="AC230" s="1">
        <f>J230-AB230</f>
        <v>11.918999999999999</v>
      </c>
      <c r="AD230" s="2">
        <v>14.63</v>
      </c>
    </row>
    <row r="231" spans="2:31">
      <c r="C231" s="30" t="s">
        <v>172</v>
      </c>
      <c r="F231" s="2">
        <v>0</v>
      </c>
      <c r="G231" s="2">
        <v>0</v>
      </c>
      <c r="H231" s="2">
        <v>0</v>
      </c>
      <c r="I231" s="2">
        <v>0</v>
      </c>
      <c r="J231" s="2">
        <v>638.048</v>
      </c>
      <c r="K231" s="1">
        <f>-K147</f>
        <v>792.63983333333329</v>
      </c>
      <c r="L231" s="1">
        <f>-L147</f>
        <v>1102.199861111111</v>
      </c>
      <c r="M231" s="1">
        <f>-M147</f>
        <v>1251.8332175925923</v>
      </c>
      <c r="N231" s="1">
        <f>-N147</f>
        <v>1376.5276813271603</v>
      </c>
      <c r="O231" s="1">
        <f>-O147</f>
        <v>1397.1064011059668</v>
      </c>
      <c r="P231" s="1">
        <f>-P147</f>
        <v>1414.2553342549725</v>
      </c>
      <c r="Q231" s="1">
        <f>-Q147</f>
        <v>1428.5461118791436</v>
      </c>
      <c r="R231" s="1">
        <f>-R147</f>
        <v>1440.4550932326194</v>
      </c>
      <c r="S231" s="1">
        <f>-S147</f>
        <v>1367.0459110271829</v>
      </c>
      <c r="T231" s="1">
        <f>-T147</f>
        <v>1305.8715925226522</v>
      </c>
      <c r="U231" s="1">
        <f>-U147</f>
        <v>1254.8929937688767</v>
      </c>
      <c r="X231" s="2">
        <v>0</v>
      </c>
      <c r="Y231" s="1">
        <f>H231-X231</f>
        <v>0</v>
      </c>
      <c r="Z231" s="2">
        <v>0</v>
      </c>
      <c r="AA231" s="1">
        <f>I231-Z231</f>
        <v>0</v>
      </c>
      <c r="AB231" s="2">
        <v>287.77699999999999</v>
      </c>
      <c r="AC231" s="1">
        <f>J231-AB231</f>
        <v>350.27100000000002</v>
      </c>
      <c r="AD231" s="2">
        <v>387.22500000000002</v>
      </c>
    </row>
    <row r="232" spans="2:31">
      <c r="C232" s="30" t="s">
        <v>173</v>
      </c>
      <c r="G232" s="1">
        <f>-(G203-F203)</f>
        <v>286.77900000000011</v>
      </c>
      <c r="H232" s="1">
        <f>-(H203-G203)</f>
        <v>1251.9470000000001</v>
      </c>
      <c r="I232" s="1">
        <f>-(I203-H203)</f>
        <v>-240.53900000000021</v>
      </c>
      <c r="J232" s="1">
        <f>-(J203-I203)</f>
        <v>337.81200000000013</v>
      </c>
      <c r="K232" s="1">
        <f t="shared" ref="K232:U232" si="200">-(K203-J203)</f>
        <v>-589.27400000000011</v>
      </c>
      <c r="L232" s="1">
        <f t="shared" si="200"/>
        <v>1160.1562216463315</v>
      </c>
      <c r="M232" s="1">
        <f t="shared" si="200"/>
        <v>585.16474976513109</v>
      </c>
      <c r="N232" s="1">
        <f t="shared" si="200"/>
        <v>418.72590473619584</v>
      </c>
      <c r="O232" s="1">
        <f t="shared" si="200"/>
        <v>343.11804550115266</v>
      </c>
      <c r="P232" s="1">
        <f t="shared" si="200"/>
        <v>377.71013484310561</v>
      </c>
      <c r="Q232" s="1">
        <f t="shared" si="200"/>
        <v>425.40506601846664</v>
      </c>
      <c r="R232" s="1">
        <f t="shared" si="200"/>
        <v>435.68220792838792</v>
      </c>
      <c r="S232" s="1">
        <f t="shared" si="200"/>
        <v>373.71168727292297</v>
      </c>
      <c r="T232" s="1">
        <f t="shared" si="200"/>
        <v>420.15398221643954</v>
      </c>
      <c r="U232" s="1">
        <f t="shared" si="200"/>
        <v>450.21680770244711</v>
      </c>
      <c r="Z232" s="1">
        <f>-(Z203-Y203)</f>
        <v>1.4629999999997949</v>
      </c>
      <c r="AA232" s="1">
        <f>-(AA203-Z203)</f>
        <v>236.87199999999973</v>
      </c>
      <c r="AB232" s="1">
        <f>-(AB203-AA203)</f>
        <v>-69.488999999999407</v>
      </c>
      <c r="AC232" s="1">
        <f>-(AC203-AB203)</f>
        <v>64.390999999999792</v>
      </c>
      <c r="AD232" s="1">
        <f>-(AD203-AC203)</f>
        <v>18.753000000000043</v>
      </c>
    </row>
    <row r="233" spans="2:31">
      <c r="C233" s="30" t="s">
        <v>174</v>
      </c>
      <c r="F233" s="1">
        <f>-F66-F76-F74-F72</f>
        <v>-7.5059999999999985</v>
      </c>
      <c r="G233" s="1">
        <f>-G66-G76-G74-G72</f>
        <v>-7.5550000000000006</v>
      </c>
      <c r="H233" s="1">
        <f>-H66-H76-H74-H72</f>
        <v>-22.593</v>
      </c>
      <c r="I233" s="1">
        <f>-I66-I76-I74-I72</f>
        <v>-52.564</v>
      </c>
      <c r="J233" s="1">
        <f>-J66-J76-J74-J72</f>
        <v>-67.00800000000001</v>
      </c>
      <c r="K233" s="1">
        <f>-K66-K76-K74-K72</f>
        <v>615.66500000000008</v>
      </c>
      <c r="L233" s="1">
        <f>-L66-L76-L74-L72</f>
        <v>18.695172617708124</v>
      </c>
      <c r="M233" s="1">
        <f>-M66-M76-M74-M72</f>
        <v>-92.510887816305342</v>
      </c>
      <c r="N233" s="1">
        <f>-N66-N76-N74-N72</f>
        <v>-101.1077447834621</v>
      </c>
      <c r="O233" s="1">
        <f>-O66-O76-O74-O72</f>
        <v>-108.74192313342334</v>
      </c>
      <c r="P233" s="1">
        <f>-P66-P76-P74-P72</f>
        <v>-108.74192313342334</v>
      </c>
      <c r="Q233" s="1">
        <f>-Q66-Q76-Q74-Q72</f>
        <v>-108.74192313342334</v>
      </c>
      <c r="R233" s="1">
        <f>-R66-R76-R74-R72</f>
        <v>-108.74192313342334</v>
      </c>
      <c r="S233" s="1">
        <f>-S66-S76-S74-S72</f>
        <v>-108.74192313342334</v>
      </c>
      <c r="T233" s="1">
        <f>-T66-T76-T74-T72</f>
        <v>-108.74192313342334</v>
      </c>
      <c r="U233" s="1">
        <f>-U66-U76-U74-U72</f>
        <v>-108.74192313342334</v>
      </c>
      <c r="Z233" s="1">
        <f>-Z76-Z74-Z72</f>
        <v>-15.257000000000001</v>
      </c>
      <c r="AA233" s="1">
        <f>-AA76-AA74-AA72</f>
        <v>0.94500000000000028</v>
      </c>
      <c r="AB233" s="1">
        <f>-AB76-AB74-AB72</f>
        <v>86.631</v>
      </c>
      <c r="AC233" s="1">
        <f>-AC76-AC74-AC72</f>
        <v>-10.163000000000025</v>
      </c>
      <c r="AD233" s="1">
        <f>-AD76-AD74-AD72</f>
        <v>108.25</v>
      </c>
    </row>
    <row r="234" spans="2:31" s="31" customFormat="1">
      <c r="C234" s="31" t="s">
        <v>175</v>
      </c>
      <c r="F234" s="31">
        <f>F227-SUM(F228:F233)</f>
        <v>-0.36600000000009913</v>
      </c>
      <c r="G234" s="31">
        <f t="shared" ref="G234:J234" si="201">G227-SUM(G228:G233)</f>
        <v>-129.27199999999948</v>
      </c>
      <c r="H234" s="31">
        <f t="shared" si="201"/>
        <v>-1383.8190000000009</v>
      </c>
      <c r="I234" s="31">
        <f t="shared" si="201"/>
        <v>339.84300000000098</v>
      </c>
      <c r="J234" s="31">
        <f t="shared" si="201"/>
        <v>71.393999999998414</v>
      </c>
      <c r="Z234" s="31">
        <f t="shared" ref="Z234:AD234" si="202">Z227-SUM(Z228:Z233)</f>
        <v>75.721000000000913</v>
      </c>
      <c r="AA234" s="31">
        <f t="shared" si="202"/>
        <v>-253.00399999999695</v>
      </c>
      <c r="AB234" s="31">
        <f t="shared" si="202"/>
        <v>-291.80900000000111</v>
      </c>
      <c r="AC234" s="31">
        <f t="shared" si="202"/>
        <v>562.63699999999926</v>
      </c>
      <c r="AD234" s="31">
        <f t="shared" si="202"/>
        <v>-122.72099999999955</v>
      </c>
    </row>
    <row r="236" spans="2:31" s="6" customFormat="1">
      <c r="C236" s="6" t="s">
        <v>176</v>
      </c>
      <c r="F236" s="6">
        <f t="shared" ref="F236:I236" si="203">F227+F249</f>
        <v>641.98900000000003</v>
      </c>
      <c r="G236" s="6">
        <f t="shared" si="203"/>
        <v>1414.0609999999999</v>
      </c>
      <c r="H236" s="6">
        <f t="shared" si="203"/>
        <v>1399.7159999999999</v>
      </c>
      <c r="I236" s="6">
        <f t="shared" si="203"/>
        <v>2384.9070000000002</v>
      </c>
      <c r="J236" s="6">
        <f>J227+J249</f>
        <v>3881.4300000000003</v>
      </c>
      <c r="K236" s="6">
        <f>K227+K249</f>
        <v>2750.1123672081935</v>
      </c>
      <c r="L236" s="6">
        <f t="shared" ref="L236:V236" si="204">L227+L249</f>
        <v>9372.8886239913681</v>
      </c>
      <c r="M236" s="6">
        <f t="shared" si="204"/>
        <v>13126.994478148767</v>
      </c>
      <c r="N236" s="6">
        <f t="shared" si="204"/>
        <v>15853.605433959157</v>
      </c>
      <c r="O236" s="6">
        <f t="shared" si="204"/>
        <v>18029.202866878793</v>
      </c>
      <c r="P236" s="6">
        <f t="shared" si="204"/>
        <v>20361.07763425841</v>
      </c>
      <c r="Q236" s="6">
        <f t="shared" si="204"/>
        <v>23251.819522356112</v>
      </c>
      <c r="R236" s="6">
        <f t="shared" si="204"/>
        <v>26119.025709748163</v>
      </c>
      <c r="S236" s="6">
        <f t="shared" si="204"/>
        <v>28352.829221792123</v>
      </c>
      <c r="T236" s="6">
        <f t="shared" si="204"/>
        <v>30645.38973988621</v>
      </c>
      <c r="U236" s="6">
        <f t="shared" si="204"/>
        <v>33259.198957490495</v>
      </c>
    </row>
    <row r="239" spans="2:31" s="6" customFormat="1">
      <c r="B239" s="6" t="s">
        <v>177</v>
      </c>
      <c r="F239" s="7">
        <v>-915.92</v>
      </c>
      <c r="G239" s="7">
        <v>-1280.876</v>
      </c>
      <c r="H239" s="7">
        <v>-1564.855</v>
      </c>
      <c r="I239" s="7">
        <v>-3863.5889999999999</v>
      </c>
      <c r="J239" s="7">
        <v>-5026.2759999999998</v>
      </c>
      <c r="X239" s="7">
        <v>-713.89499999999998</v>
      </c>
      <c r="Y239" s="6">
        <f>H239-X239</f>
        <v>-850.96</v>
      </c>
      <c r="Z239" s="7">
        <v>-398.697</v>
      </c>
      <c r="AA239" s="6">
        <f>I239-Z239</f>
        <v>-3464.8919999999998</v>
      </c>
      <c r="AB239" s="7">
        <v>-1843.482</v>
      </c>
      <c r="AC239" s="6">
        <f>J239-AB239</f>
        <v>-3182.7939999999999</v>
      </c>
      <c r="AD239" s="7">
        <v>-2413.1309999999999</v>
      </c>
    </row>
    <row r="240" spans="2:31">
      <c r="C240" s="1" t="s">
        <v>178</v>
      </c>
      <c r="F240" s="2">
        <v>-399.92500000000001</v>
      </c>
      <c r="G240" s="2">
        <v>-429.46600000000001</v>
      </c>
      <c r="H240" s="2">
        <v>-1242.904</v>
      </c>
      <c r="I240" s="2">
        <v>-2508.2629999999999</v>
      </c>
      <c r="J240" s="2">
        <v>-4880.8069999999998</v>
      </c>
      <c r="K240" s="1">
        <f>-K122</f>
        <v>-8001.2316841201718</v>
      </c>
      <c r="L240" s="1">
        <f>-L122</f>
        <v>-9675.9607581866949</v>
      </c>
      <c r="M240" s="1">
        <f>-M122</f>
        <v>-12095.21605221191</v>
      </c>
      <c r="N240" s="1">
        <f>-N122</f>
        <v>-13940.206973744178</v>
      </c>
      <c r="O240" s="1">
        <f>-O122</f>
        <v>-16249.898541082206</v>
      </c>
      <c r="P240" s="1">
        <f>-P122</f>
        <v>-18761.708747719676</v>
      </c>
      <c r="Q240" s="1">
        <f>-Q122</f>
        <v>-21490.075228668185</v>
      </c>
      <c r="R240" s="1">
        <f>-R122</f>
        <v>-23650.37408584225</v>
      </c>
      <c r="S240" s="1">
        <f>-S122</f>
        <v>-26156.949357152818</v>
      </c>
      <c r="T240" s="1">
        <f>-T122</f>
        <v>-28859.05622037984</v>
      </c>
      <c r="U240" s="1">
        <f>-U122</f>
        <v>-31769.981396536681</v>
      </c>
      <c r="X240" s="2">
        <v>-311.99900000000002</v>
      </c>
      <c r="Y240" s="1">
        <f>H240-X240</f>
        <v>-930.90499999999997</v>
      </c>
      <c r="Z240" s="2">
        <v>-901.44600000000003</v>
      </c>
      <c r="AA240" s="1">
        <f>I240-Z240</f>
        <v>-1606.817</v>
      </c>
      <c r="AB240" s="2">
        <v>-1763.0630000000001</v>
      </c>
      <c r="AC240" s="1">
        <f>J240-AB240</f>
        <v>-3117.7439999999997</v>
      </c>
      <c r="AD240" s="2">
        <v>-1807.7080000000001</v>
      </c>
    </row>
    <row r="241" spans="2:30">
      <c r="C241" s="1" t="s">
        <v>179</v>
      </c>
      <c r="F241" s="2">
        <v>-12.512</v>
      </c>
      <c r="G241" s="2">
        <v>-0.22600000000000001</v>
      </c>
      <c r="H241" s="2">
        <v>-0.17299999999999999</v>
      </c>
      <c r="I241" s="2">
        <v>-50.805999999999997</v>
      </c>
      <c r="J241" s="2">
        <v>-63.118000000000002</v>
      </c>
      <c r="K241" s="1">
        <f>-K136</f>
        <v>-50</v>
      </c>
      <c r="L241" s="1">
        <f>-L136</f>
        <v>-50</v>
      </c>
      <c r="M241" s="1">
        <f>-M136</f>
        <v>-50</v>
      </c>
      <c r="N241" s="1">
        <f>-N136</f>
        <v>-50</v>
      </c>
      <c r="O241" s="1">
        <f>-O136</f>
        <v>-50</v>
      </c>
      <c r="P241" s="1">
        <f>-P136</f>
        <v>-50</v>
      </c>
      <c r="Q241" s="1">
        <f>-Q136</f>
        <v>-50</v>
      </c>
      <c r="R241" s="1">
        <f>-R136</f>
        <v>-50</v>
      </c>
      <c r="S241" s="1">
        <f>-S136</f>
        <v>-50</v>
      </c>
      <c r="T241" s="1">
        <f>-T136</f>
        <v>-50</v>
      </c>
      <c r="U241" s="1">
        <f>-U136</f>
        <v>-50</v>
      </c>
      <c r="X241" s="2">
        <v>-2.8000000000000001E-2</v>
      </c>
      <c r="Y241" s="1">
        <f>H241-X241</f>
        <v>-0.14499999999999999</v>
      </c>
      <c r="Z241" s="2">
        <v>-25.151</v>
      </c>
      <c r="AA241" s="1">
        <f>I241-Z241</f>
        <v>-25.654999999999998</v>
      </c>
      <c r="AB241" s="2">
        <v>-20.882000000000001</v>
      </c>
      <c r="AC241" s="1">
        <f>J241-AB241</f>
        <v>-42.236000000000004</v>
      </c>
      <c r="AD241" s="2">
        <v>-5.6950000000000003</v>
      </c>
    </row>
    <row r="242" spans="2:30">
      <c r="C242" s="1" t="s">
        <v>180</v>
      </c>
      <c r="F242" s="2">
        <v>0</v>
      </c>
      <c r="G242" s="2">
        <v>0</v>
      </c>
      <c r="H242" s="2">
        <v>0</v>
      </c>
      <c r="I242" s="2">
        <v>0</v>
      </c>
      <c r="J242" s="2">
        <v>-99.62</v>
      </c>
      <c r="X242" s="2">
        <v>0</v>
      </c>
      <c r="Y242" s="1">
        <f>H242-X242</f>
        <v>0</v>
      </c>
      <c r="Z242" s="2">
        <v>0</v>
      </c>
      <c r="AA242" s="1">
        <f>I242-Z242</f>
        <v>0</v>
      </c>
      <c r="AB242" s="2">
        <v>-101.06</v>
      </c>
      <c r="AC242" s="1">
        <f>J242-AB242</f>
        <v>1.4399999999999977</v>
      </c>
      <c r="AD242" s="2">
        <v>-99.034999999999997</v>
      </c>
    </row>
    <row r="243" spans="2:30">
      <c r="C243" s="1" t="s">
        <v>181</v>
      </c>
      <c r="F243" s="2">
        <v>-1.639</v>
      </c>
      <c r="G243" s="1">
        <f>-(G167-F167)-(G115+G165-F115-F165)</f>
        <v>-34.573999999999998</v>
      </c>
      <c r="H243" s="1">
        <f>-(H167-G167)-(H115+H165-G115-G165)</f>
        <v>-11.443999999999996</v>
      </c>
      <c r="I243" s="1">
        <f>-(I167-H167)-(I115+I165-H115-H165)</f>
        <v>-1783.9590000000001</v>
      </c>
      <c r="J243" s="1">
        <f>-(J167-I167)-(J115+J165-I115-I165)</f>
        <v>-30.523000000000188</v>
      </c>
      <c r="Z243" s="1">
        <f>-(Z167-Y167)-(Z115+Z165-Y115-Y165)</f>
        <v>46.51</v>
      </c>
      <c r="AA243" s="1">
        <f>-(AA167-Z167)-(AA115+AA165-Z115-Z165)</f>
        <v>-1830.4690000000001</v>
      </c>
      <c r="AB243" s="1">
        <f>-(AB167-AA167)-(AB115+AB165-AA115-AA165)</f>
        <v>30.701999999999799</v>
      </c>
      <c r="AC243" s="1">
        <f>-(AC167-AB167)-(AC115+AC165-AB115-AB165)</f>
        <v>-61.224999999999987</v>
      </c>
      <c r="AD243" s="1">
        <f>-(AD167-AC167)-(AD115+AD165-AC115-AC165)</f>
        <v>731.71500000000015</v>
      </c>
    </row>
    <row r="244" spans="2:30" s="31" customFormat="1">
      <c r="C244" s="31" t="s">
        <v>175</v>
      </c>
      <c r="F244" s="31">
        <f>F239-SUM(F240:F243)</f>
        <v>-501.84399999999994</v>
      </c>
      <c r="G244" s="31">
        <f t="shared" ref="G244:H244" si="205">G239-SUM(G240:G243)</f>
        <v>-816.6099999999999</v>
      </c>
      <c r="H244" s="31">
        <f t="shared" si="205"/>
        <v>-310.33400000000006</v>
      </c>
      <c r="I244" s="31">
        <f t="shared" ref="I244:J244" si="206">I239-SUM(I240:I243)</f>
        <v>479.43900000000031</v>
      </c>
      <c r="J244" s="31">
        <f t="shared" si="206"/>
        <v>47.792000000000371</v>
      </c>
      <c r="K244" s="31">
        <f>K66</f>
        <v>0</v>
      </c>
      <c r="L244" s="31">
        <f>L66</f>
        <v>111</v>
      </c>
      <c r="M244" s="31">
        <f>M66</f>
        <v>111</v>
      </c>
      <c r="N244" s="31">
        <f>N66</f>
        <v>111</v>
      </c>
      <c r="O244" s="31">
        <f>O66</f>
        <v>111</v>
      </c>
      <c r="P244" s="31">
        <f>P66</f>
        <v>111</v>
      </c>
      <c r="Q244" s="31">
        <f>Q66</f>
        <v>111</v>
      </c>
      <c r="R244" s="31">
        <f>R66</f>
        <v>111</v>
      </c>
      <c r="S244" s="31">
        <f>S66</f>
        <v>111</v>
      </c>
      <c r="T244" s="31">
        <f>T66</f>
        <v>111</v>
      </c>
      <c r="U244" s="31">
        <f>U66</f>
        <v>111</v>
      </c>
      <c r="Z244" s="31">
        <f t="shared" ref="Z244:AD244" si="207">Z239-SUM(Z240:Z243)</f>
        <v>481.39</v>
      </c>
      <c r="AA244" s="31">
        <f t="shared" si="207"/>
        <v>-1.9510000000000218</v>
      </c>
      <c r="AB244" s="31">
        <f t="shared" si="207"/>
        <v>10.821000000000367</v>
      </c>
      <c r="AC244" s="31">
        <f t="shared" si="207"/>
        <v>36.970999999999549</v>
      </c>
      <c r="AD244" s="31">
        <f t="shared" si="207"/>
        <v>-1232.4079999999999</v>
      </c>
    </row>
    <row r="246" spans="2:30" s="6" customFormat="1">
      <c r="B246" s="6" t="s">
        <v>182</v>
      </c>
      <c r="F246" s="7">
        <v>158.59100000000001</v>
      </c>
      <c r="G246" s="7">
        <v>157.73500000000001</v>
      </c>
      <c r="H246" s="7">
        <v>104.943</v>
      </c>
      <c r="I246" s="7">
        <v>5339.3980000000001</v>
      </c>
      <c r="J246" s="7">
        <v>-1489.7180000000001</v>
      </c>
      <c r="X246" s="7">
        <v>485.79399999999998</v>
      </c>
      <c r="Y246" s="6">
        <f>H246-X246</f>
        <v>-380.851</v>
      </c>
      <c r="Z246" s="7">
        <v>-373.971</v>
      </c>
      <c r="AA246" s="6">
        <f>I246-Z246</f>
        <v>5713.3690000000006</v>
      </c>
      <c r="AB246" s="7">
        <v>-732.49400000000003</v>
      </c>
      <c r="AC246" s="6">
        <f>J246-AB246</f>
        <v>-757.22400000000005</v>
      </c>
      <c r="AD246" s="7">
        <v>2097.9349999999999</v>
      </c>
    </row>
    <row r="247" spans="2:30">
      <c r="C247" s="1" t="s">
        <v>183</v>
      </c>
      <c r="F247" s="2">
        <f>-76.563+234.374</f>
        <v>157.81099999999998</v>
      </c>
      <c r="G247" s="1">
        <f>G186+G179-F186-F179</f>
        <v>164.17099999999999</v>
      </c>
      <c r="H247" s="1">
        <f>H186+H179-G186-G179</f>
        <v>-221.34199999999998</v>
      </c>
      <c r="I247" s="1">
        <f>I186+I179-H186-H179</f>
        <v>53.133999999999958</v>
      </c>
      <c r="J247" s="1">
        <f>J186+J179-I186-I179</f>
        <v>-180.82</v>
      </c>
      <c r="K247" s="1">
        <f>K186+K179-J186-J179</f>
        <v>3844.9260000000004</v>
      </c>
      <c r="L247" s="1">
        <f>L186+L179-K186-K179</f>
        <v>-3744.1440000000002</v>
      </c>
      <c r="M247" s="1">
        <f>M186+M179-L186-L179</f>
        <v>-32.695</v>
      </c>
      <c r="N247" s="1">
        <f>N186+N179-M186-M179</f>
        <v>-259.27600000000001</v>
      </c>
      <c r="O247" s="1">
        <f>O186+O179-N186-N179</f>
        <v>0</v>
      </c>
      <c r="P247" s="1">
        <f>P186+P179-O186-O179</f>
        <v>0</v>
      </c>
      <c r="Q247" s="1">
        <f>Q186+Q179-P186-P179</f>
        <v>0</v>
      </c>
      <c r="R247" s="1">
        <f>R186+R179-Q186-Q179</f>
        <v>0</v>
      </c>
      <c r="S247" s="1">
        <f>S186+S179-R186-R179</f>
        <v>0</v>
      </c>
      <c r="T247" s="1">
        <f>T186+T179-S186-S179</f>
        <v>0</v>
      </c>
      <c r="U247" s="1">
        <f>U186+U179-T186-T179</f>
        <v>0</v>
      </c>
      <c r="Z247" s="1">
        <f>Z186+Z179-Y186-Y179</f>
        <v>754.26200000000006</v>
      </c>
      <c r="AA247" s="1">
        <f>AA186+AA179-Z186-Z179</f>
        <v>-701.12799999999993</v>
      </c>
      <c r="AB247" s="1">
        <f>AB186+AB179-AA186-AA179</f>
        <v>109.49100000000004</v>
      </c>
      <c r="AC247" s="1">
        <f>AC186+AC179-AB186-AB179</f>
        <v>-290.31100000000004</v>
      </c>
      <c r="AD247" s="1">
        <f>AD186+AD179-AC186-AC179</f>
        <v>3171.7080000000001</v>
      </c>
    </row>
    <row r="248" spans="2:30">
      <c r="C248" s="1" t="s">
        <v>184</v>
      </c>
      <c r="F248" s="2">
        <v>5.3570000000000002</v>
      </c>
      <c r="G248" s="2">
        <v>-5.6000000000000001E-2</v>
      </c>
      <c r="H248" s="2">
        <f>1492.26-796.778</f>
        <v>695.48199999999997</v>
      </c>
      <c r="I248" s="2">
        <f>712.688-1428.472</f>
        <v>-715.78399999999999</v>
      </c>
      <c r="J248" s="2">
        <v>0</v>
      </c>
      <c r="X248" s="2">
        <f>531.001-0.161</f>
        <v>530.84</v>
      </c>
      <c r="Y248" s="1">
        <f>H248-X248</f>
        <v>164.64199999999994</v>
      </c>
      <c r="Z248" s="2">
        <f>712.688-1403.623</f>
        <v>-690.93500000000006</v>
      </c>
      <c r="AA248" s="1">
        <f>I248-Z248</f>
        <v>-24.848999999999933</v>
      </c>
      <c r="AB248" s="2">
        <v>0</v>
      </c>
      <c r="AC248" s="1">
        <f>J248-AB248</f>
        <v>0</v>
      </c>
      <c r="AD248" s="2">
        <v>0</v>
      </c>
    </row>
    <row r="249" spans="2:30">
      <c r="C249" s="1" t="s">
        <v>185</v>
      </c>
      <c r="F249" s="2">
        <v>0</v>
      </c>
      <c r="G249" s="2">
        <v>0</v>
      </c>
      <c r="H249" s="2">
        <v>0</v>
      </c>
      <c r="I249" s="2">
        <v>0</v>
      </c>
      <c r="J249" s="2">
        <v>-699.05399999999997</v>
      </c>
      <c r="K249" s="1">
        <f>-K231</f>
        <v>-792.63983333333329</v>
      </c>
      <c r="L249" s="1">
        <f t="shared" ref="L249:U249" si="208">-L231</f>
        <v>-1102.199861111111</v>
      </c>
      <c r="M249" s="1">
        <f t="shared" si="208"/>
        <v>-1251.8332175925923</v>
      </c>
      <c r="N249" s="1">
        <f t="shared" si="208"/>
        <v>-1376.5276813271603</v>
      </c>
      <c r="O249" s="1">
        <f t="shared" si="208"/>
        <v>-1397.1064011059668</v>
      </c>
      <c r="P249" s="1">
        <f t="shared" si="208"/>
        <v>-1414.2553342549725</v>
      </c>
      <c r="Q249" s="1">
        <f t="shared" si="208"/>
        <v>-1428.5461118791436</v>
      </c>
      <c r="R249" s="1">
        <f t="shared" si="208"/>
        <v>-1440.4550932326194</v>
      </c>
      <c r="S249" s="1">
        <f t="shared" si="208"/>
        <v>-1367.0459110271829</v>
      </c>
      <c r="T249" s="1">
        <f t="shared" si="208"/>
        <v>-1305.8715925226522</v>
      </c>
      <c r="U249" s="1">
        <f t="shared" si="208"/>
        <v>-1254.8929937688767</v>
      </c>
      <c r="X249" s="2">
        <v>0</v>
      </c>
      <c r="Y249" s="1">
        <f>H249-X249</f>
        <v>0</v>
      </c>
      <c r="Z249" s="2">
        <v>0</v>
      </c>
      <c r="AA249" s="1">
        <f>I249-Z249</f>
        <v>0</v>
      </c>
      <c r="AB249" s="2">
        <v>-264.262</v>
      </c>
      <c r="AC249" s="1">
        <f>J249-AB249</f>
        <v>-434.79199999999997</v>
      </c>
      <c r="AD249" s="2">
        <v>-318.54500000000002</v>
      </c>
    </row>
    <row r="250" spans="2:30">
      <c r="C250" s="1" t="s">
        <v>186</v>
      </c>
      <c r="F250" s="2">
        <v>0</v>
      </c>
      <c r="G250" s="2">
        <v>0</v>
      </c>
      <c r="H250" s="2">
        <v>0</v>
      </c>
      <c r="I250" s="2">
        <v>-460.89</v>
      </c>
      <c r="J250" s="2">
        <v>-473.416</v>
      </c>
      <c r="X250" s="2">
        <v>0</v>
      </c>
      <c r="Y250" s="1">
        <f>H250-X250</f>
        <v>0</v>
      </c>
      <c r="Z250" s="2">
        <v>-460.89</v>
      </c>
      <c r="AA250" s="1">
        <f>I250-Z250</f>
        <v>0</v>
      </c>
      <c r="AB250" s="2">
        <v>-473.416</v>
      </c>
      <c r="AC250" s="1">
        <f>J250-AB250</f>
        <v>0</v>
      </c>
      <c r="AD250" s="2">
        <v>-703.41300000000001</v>
      </c>
    </row>
    <row r="251" spans="2:30">
      <c r="C251" s="1" t="s">
        <v>187</v>
      </c>
      <c r="F251" s="2">
        <v>0</v>
      </c>
      <c r="G251" s="2">
        <v>0</v>
      </c>
      <c r="H251" s="2">
        <v>0</v>
      </c>
      <c r="I251" s="2">
        <f>6632.014</f>
        <v>6632.0140000000001</v>
      </c>
      <c r="J251" s="2">
        <v>0</v>
      </c>
      <c r="X251" s="2">
        <v>0</v>
      </c>
      <c r="Y251" s="1">
        <f>H251-X251</f>
        <v>0</v>
      </c>
      <c r="Z251" s="2">
        <v>0</v>
      </c>
      <c r="AA251" s="1">
        <f>I251-Z251</f>
        <v>6632.0140000000001</v>
      </c>
      <c r="AB251" s="2">
        <v>0</v>
      </c>
      <c r="AC251" s="1">
        <f>J251-AB251</f>
        <v>0</v>
      </c>
      <c r="AD251" s="2">
        <v>0</v>
      </c>
    </row>
    <row r="252" spans="2:30" s="31" customFormat="1">
      <c r="C252" s="31" t="s">
        <v>175</v>
      </c>
      <c r="F252" s="31">
        <f>F246-SUM(F247:F251)</f>
        <v>-4.5769999999999698</v>
      </c>
      <c r="G252" s="31">
        <f t="shared" ref="G252:H252" si="209">G246-SUM(G247:G251)</f>
        <v>-6.379999999999967</v>
      </c>
      <c r="H252" s="31">
        <f t="shared" si="209"/>
        <v>-369.197</v>
      </c>
      <c r="I252" s="31">
        <f t="shared" ref="I252:J252" si="210">I246-SUM(I247:I251)</f>
        <v>-169.07600000000002</v>
      </c>
      <c r="J252" s="31">
        <f t="shared" si="210"/>
        <v>-136.42800000000011</v>
      </c>
      <c r="K252" s="31">
        <f>K76</f>
        <v>-445.55900000000003</v>
      </c>
      <c r="L252" s="31">
        <f>L76</f>
        <v>-129.69517261770812</v>
      </c>
      <c r="M252" s="31">
        <f>M76</f>
        <v>-18.489112183694655</v>
      </c>
      <c r="N252" s="31">
        <f>N76</f>
        <v>-9.8922552165378974</v>
      </c>
      <c r="O252" s="31">
        <f>O76</f>
        <v>-2.2580768665766531</v>
      </c>
      <c r="P252" s="31">
        <f>P76</f>
        <v>-2.2580768665766531</v>
      </c>
      <c r="Q252" s="31">
        <f>Q76</f>
        <v>-2.2580768665766531</v>
      </c>
      <c r="R252" s="31">
        <f>R76</f>
        <v>-2.2580768665766531</v>
      </c>
      <c r="S252" s="31">
        <f>S76</f>
        <v>-2.2580768665766531</v>
      </c>
      <c r="T252" s="31">
        <f>T76</f>
        <v>-2.2580768665766531</v>
      </c>
      <c r="U252" s="31">
        <f>U76</f>
        <v>-2.2580768665766531</v>
      </c>
      <c r="Z252" s="31">
        <f t="shared" ref="Z252:AD252" si="211">Z246-SUM(Z247:Z251)</f>
        <v>23.591999999999985</v>
      </c>
      <c r="AA252" s="31">
        <f t="shared" si="211"/>
        <v>-192.66799999999967</v>
      </c>
      <c r="AB252" s="31">
        <f t="shared" si="211"/>
        <v>-104.30700000000013</v>
      </c>
      <c r="AC252" s="31">
        <f t="shared" si="211"/>
        <v>-32.120999999999981</v>
      </c>
      <c r="AD252" s="31">
        <f t="shared" si="211"/>
        <v>-51.815000000000055</v>
      </c>
    </row>
    <row r="254" spans="2:30" s="6" customFormat="1">
      <c r="B254" s="6" t="s">
        <v>188</v>
      </c>
      <c r="F254" s="6">
        <f>F227+F239+F246</f>
        <v>-115.33999999999992</v>
      </c>
      <c r="G254" s="6">
        <f t="shared" ref="G254:J254" si="212">G227+G239+G246</f>
        <v>290.91999999999996</v>
      </c>
      <c r="H254" s="6">
        <f t="shared" si="212"/>
        <v>-60.196000000000126</v>
      </c>
      <c r="I254" s="6">
        <f t="shared" si="212"/>
        <v>3860.7160000000003</v>
      </c>
      <c r="J254" s="6">
        <f t="shared" si="212"/>
        <v>-1935.5099999999995</v>
      </c>
      <c r="X254" s="6">
        <f t="shared" ref="X254:AD254" si="213">X227+X239+X246</f>
        <v>388.93799999999999</v>
      </c>
      <c r="Y254" s="6">
        <f>Y227+Y239+Y246</f>
        <v>-449.13400000000013</v>
      </c>
      <c r="Z254" s="6">
        <f t="shared" si="213"/>
        <v>230.24</v>
      </c>
      <c r="AA254" s="6">
        <f>AA227+AA239+AA246</f>
        <v>3630.476000000001</v>
      </c>
      <c r="AB254" s="6">
        <f t="shared" si="213"/>
        <v>-1108.3339999999998</v>
      </c>
      <c r="AC254" s="6">
        <f>AC227+AC239+AC246</f>
        <v>-827.17599999999936</v>
      </c>
      <c r="AD254" s="6">
        <f t="shared" si="213"/>
        <v>21.56899999999996</v>
      </c>
    </row>
    <row r="255" spans="2:30">
      <c r="B255" s="1" t="s">
        <v>189</v>
      </c>
      <c r="F255" s="2">
        <v>-5.2999999999999999E-2</v>
      </c>
      <c r="G255" s="2">
        <v>-0.16</v>
      </c>
      <c r="H255" s="2">
        <v>-32.341000000000001</v>
      </c>
      <c r="I255" s="2">
        <v>-24.125</v>
      </c>
      <c r="J255" s="2">
        <v>38.848999999999997</v>
      </c>
      <c r="X255" s="2">
        <v>-16.048999999999999</v>
      </c>
      <c r="Y255" s="1">
        <f>H255-X255</f>
        <v>-16.292000000000002</v>
      </c>
      <c r="Z255" s="2">
        <v>18.831</v>
      </c>
      <c r="AA255" s="1">
        <f>I255-Z255</f>
        <v>-42.956000000000003</v>
      </c>
      <c r="AB255" s="2">
        <v>-7.585</v>
      </c>
      <c r="AC255" s="1">
        <f>J255-AB255</f>
        <v>46.433999999999997</v>
      </c>
      <c r="AD255" s="2">
        <v>4.1289999999999996</v>
      </c>
    </row>
    <row r="256" spans="2:30">
      <c r="B256" s="1" t="s">
        <v>190</v>
      </c>
      <c r="F256" s="2">
        <v>-24.14</v>
      </c>
      <c r="G256" s="2">
        <v>-41.478999999999999</v>
      </c>
      <c r="H256" s="2">
        <v>-32.307000000000002</v>
      </c>
      <c r="I256" s="2">
        <v>0</v>
      </c>
      <c r="J256" s="2">
        <v>0</v>
      </c>
      <c r="X256" s="2">
        <v>-28.460999999999999</v>
      </c>
      <c r="Y256" s="1">
        <f>H256-X256</f>
        <v>-3.8460000000000036</v>
      </c>
      <c r="Z256" s="2">
        <v>0</v>
      </c>
      <c r="AA256" s="1">
        <f>I256-Z256</f>
        <v>0</v>
      </c>
      <c r="AB256" s="2">
        <v>0</v>
      </c>
      <c r="AC256" s="1">
        <f>J256-AB256</f>
        <v>0</v>
      </c>
      <c r="AD256" s="2">
        <v>0</v>
      </c>
    </row>
    <row r="257" spans="2:31">
      <c r="B257" s="1" t="s">
        <v>107</v>
      </c>
      <c r="F257" s="2">
        <v>297.12799999999999</v>
      </c>
      <c r="G257" s="1">
        <f>F258</f>
        <v>157.595</v>
      </c>
      <c r="H257" s="1">
        <f>G258</f>
        <v>406.87599999999998</v>
      </c>
      <c r="I257" s="1">
        <f t="shared" ref="I257:J257" si="214">H258</f>
        <v>282.03199999999998</v>
      </c>
      <c r="J257" s="1">
        <f t="shared" si="214"/>
        <v>4118.6229999999996</v>
      </c>
      <c r="Z257" s="1">
        <f t="shared" ref="Z257:AD257" si="215">Y258</f>
        <v>282.03199999999998</v>
      </c>
      <c r="AA257" s="1">
        <f t="shared" si="215"/>
        <v>531.10299999999995</v>
      </c>
      <c r="AB257" s="1">
        <f t="shared" si="215"/>
        <v>4118.6229999999996</v>
      </c>
      <c r="AC257" s="1">
        <f t="shared" si="215"/>
        <v>3002.7040000000002</v>
      </c>
      <c r="AD257" s="1">
        <f t="shared" si="215"/>
        <v>2221.962</v>
      </c>
    </row>
    <row r="258" spans="2:31">
      <c r="B258" s="1" t="s">
        <v>191</v>
      </c>
      <c r="F258" s="1">
        <f>F168</f>
        <v>157.595</v>
      </c>
      <c r="G258" s="1">
        <f>G168</f>
        <v>406.87599999999998</v>
      </c>
      <c r="H258" s="1">
        <f>H168</f>
        <v>282.03199999999998</v>
      </c>
      <c r="I258" s="1">
        <f>I168</f>
        <v>4118.6229999999996</v>
      </c>
      <c r="J258" s="1">
        <f>J168</f>
        <v>2221.962</v>
      </c>
      <c r="Y258" s="1">
        <f>Y168</f>
        <v>282.03199999999998</v>
      </c>
      <c r="Z258" s="1">
        <f>Z168</f>
        <v>531.10299999999995</v>
      </c>
      <c r="AA258" s="1">
        <f>AA168</f>
        <v>4118.6229999999996</v>
      </c>
      <c r="AB258" s="1">
        <f>AB168</f>
        <v>3002.7040000000002</v>
      </c>
      <c r="AC258" s="1">
        <f>AC168</f>
        <v>2221.962</v>
      </c>
      <c r="AD258" s="1">
        <f>AD168</f>
        <v>2247.66</v>
      </c>
    </row>
    <row r="259" spans="2:31" s="26" customFormat="1">
      <c r="C259" s="26" t="s">
        <v>152</v>
      </c>
      <c r="F259" s="26">
        <f t="shared" ref="F259:G259" si="216">F258-F257-F256-F254-F255</f>
        <v>-6.8327288271774478E-14</v>
      </c>
      <c r="G259" s="26">
        <f t="shared" si="216"/>
        <v>3.1835645231126364E-14</v>
      </c>
      <c r="H259" s="26">
        <f>H258-H257-H256-H254-H255</f>
        <v>1.3500311979441904E-13</v>
      </c>
      <c r="I259" s="26">
        <f t="shared" ref="I259:J259" si="217">I258-I257-I256-I254-I255</f>
        <v>-9.0949470177292824E-13</v>
      </c>
      <c r="J259" s="26">
        <f t="shared" si="217"/>
        <v>-6.3948846218409017E-14</v>
      </c>
      <c r="Z259" s="26">
        <f t="shared" ref="Z259:AD259" si="218">Z258-Z257-Z256-Z254-Z255</f>
        <v>-3.907985046680551E-14</v>
      </c>
      <c r="AA259" s="26">
        <f t="shared" si="218"/>
        <v>-1.4921397450962104E-12</v>
      </c>
      <c r="AB259" s="26">
        <f t="shared" si="218"/>
        <v>4.1833203567875898E-13</v>
      </c>
      <c r="AC259" s="26">
        <f t="shared" si="218"/>
        <v>-8.2422957348171622E-13</v>
      </c>
      <c r="AD259" s="26">
        <f t="shared" si="218"/>
        <v>-9.4146912488213275E-14</v>
      </c>
    </row>
    <row r="261" spans="2:31" s="6" customFormat="1">
      <c r="B261" s="6" t="s">
        <v>192</v>
      </c>
      <c r="F261" s="6">
        <f t="shared" ref="F261:I261" si="219">F236+F240+F241</f>
        <v>229.55200000000002</v>
      </c>
      <c r="G261" s="6">
        <f t="shared" si="219"/>
        <v>984.36899999999991</v>
      </c>
      <c r="H261" s="6">
        <f t="shared" si="219"/>
        <v>156.6389999999999</v>
      </c>
      <c r="I261" s="6">
        <f t="shared" si="219"/>
        <v>-174.16199999999975</v>
      </c>
      <c r="J261" s="6">
        <f>J236+J240+J241</f>
        <v>-1062.4949999999994</v>
      </c>
      <c r="K261" s="6">
        <f t="shared" ref="K261:U261" si="220">K236+K240+K241</f>
        <v>-5301.1193169119779</v>
      </c>
      <c r="L261" s="6">
        <f t="shared" si="220"/>
        <v>-353.07213419532673</v>
      </c>
      <c r="M261" s="6">
        <f t="shared" si="220"/>
        <v>981.77842593685637</v>
      </c>
      <c r="N261" s="6">
        <f t="shared" si="220"/>
        <v>1863.3984602149794</v>
      </c>
      <c r="O261" s="6">
        <f t="shared" si="220"/>
        <v>1729.3043257965874</v>
      </c>
      <c r="P261" s="6">
        <f t="shared" si="220"/>
        <v>1549.3688865387339</v>
      </c>
      <c r="Q261" s="6">
        <f t="shared" si="220"/>
        <v>1711.744293687927</v>
      </c>
      <c r="R261" s="6">
        <f t="shared" si="220"/>
        <v>2418.6516239059129</v>
      </c>
      <c r="S261" s="6">
        <f t="shared" si="220"/>
        <v>2145.8798646393043</v>
      </c>
      <c r="T261" s="6">
        <f t="shared" si="220"/>
        <v>1736.3335195063701</v>
      </c>
      <c r="U261" s="6">
        <f t="shared" si="220"/>
        <v>1439.2175609538135</v>
      </c>
      <c r="X261" s="6">
        <f t="shared" ref="X261:AD261" si="221">X227+X240+X241</f>
        <v>305.01199999999994</v>
      </c>
      <c r="Y261" s="6">
        <f t="shared" si="221"/>
        <v>-148.37300000000008</v>
      </c>
      <c r="Z261" s="6">
        <f t="shared" si="221"/>
        <v>76.310999999999993</v>
      </c>
      <c r="AA261" s="6">
        <f t="shared" si="221"/>
        <v>-250.47299999999976</v>
      </c>
      <c r="AB261" s="6">
        <f t="shared" si="221"/>
        <v>-316.30300000000005</v>
      </c>
      <c r="AC261" s="6">
        <f t="shared" si="221"/>
        <v>-47.137999999999138</v>
      </c>
      <c r="AD261" s="6">
        <f t="shared" si="221"/>
        <v>-1476.6380000000001</v>
      </c>
    </row>
    <row r="262" spans="2:31" s="12" customFormat="1">
      <c r="C262" s="12" t="s">
        <v>193</v>
      </c>
      <c r="F262" s="12">
        <f t="shared" ref="F262:G262" si="222">F261/F$5</f>
        <v>3.9875747870040418E-2</v>
      </c>
      <c r="G262" s="12">
        <f t="shared" si="222"/>
        <v>0.12607691958923553</v>
      </c>
      <c r="H262" s="12">
        <f>H261/H$5</f>
        <v>1.47256272109969E-2</v>
      </c>
      <c r="I262" s="12">
        <f t="shared" ref="I262:U262" si="223">I261/I$5</f>
        <v>-1.0263478911668842E-2</v>
      </c>
      <c r="J262" s="12">
        <f t="shared" si="223"/>
        <v>-4.0009915727612241E-2</v>
      </c>
      <c r="K262" s="12">
        <f t="shared" si="223"/>
        <v>-0.18526148302347825</v>
      </c>
      <c r="L262" s="12">
        <f t="shared" si="223"/>
        <v>-5.5333569728163419E-3</v>
      </c>
      <c r="M262" s="12">
        <f t="shared" si="223"/>
        <v>1.1638728498989831E-2</v>
      </c>
      <c r="N262" s="12">
        <f t="shared" si="223"/>
        <v>1.8775110379579196E-2</v>
      </c>
      <c r="O262" s="12">
        <f t="shared" si="223"/>
        <v>1.5369770341637227E-2</v>
      </c>
      <c r="P262" s="12">
        <f t="shared" si="223"/>
        <v>1.2291756587021412E-2</v>
      </c>
      <c r="Q262" s="12">
        <f t="shared" si="223"/>
        <v>1.2130190784549183E-2</v>
      </c>
      <c r="R262" s="12">
        <f t="shared" si="223"/>
        <v>1.5598933524196522E-2</v>
      </c>
      <c r="S262" s="12">
        <f t="shared" si="223"/>
        <v>1.2783598489667883E-2</v>
      </c>
      <c r="T262" s="12">
        <f t="shared" si="223"/>
        <v>9.5959908792066281E-3</v>
      </c>
      <c r="U262" s="12">
        <f t="shared" si="223"/>
        <v>7.3710068572655895E-3</v>
      </c>
      <c r="X262" s="12">
        <f t="shared" ref="X262:AD262" si="224">X261/X$5</f>
        <v>6.4131167256965577E-2</v>
      </c>
      <c r="Y262" s="12">
        <f t="shared" si="224"/>
        <v>-2.5228762281918119E-2</v>
      </c>
      <c r="Z262" s="12">
        <f t="shared" si="224"/>
        <v>1.0392850313865141E-2</v>
      </c>
      <c r="AA262" s="12">
        <f t="shared" si="224"/>
        <v>-2.6019232830856942E-2</v>
      </c>
      <c r="AB262" s="12">
        <f t="shared" si="224"/>
        <v>-2.7046867509914387E-2</v>
      </c>
      <c r="AC262" s="12">
        <f t="shared" si="224"/>
        <v>-3.1718910884919213E-3</v>
      </c>
      <c r="AD262" s="12">
        <f t="shared" si="224"/>
        <v>-0.15128549920829704</v>
      </c>
    </row>
    <row r="263" spans="2:31" s="12" customFormat="1">
      <c r="C263" s="12" t="s">
        <v>194</v>
      </c>
    </row>
    <row r="266" spans="2:31" s="4" customFormat="1">
      <c r="B266" s="4" t="s">
        <v>195</v>
      </c>
      <c r="C266" s="4" t="s">
        <v>3</v>
      </c>
      <c r="F266" s="5" t="s">
        <v>4</v>
      </c>
      <c r="G266" s="5" t="s">
        <v>5</v>
      </c>
      <c r="H266" s="5" t="s">
        <v>6</v>
      </c>
      <c r="I266" s="5" t="s">
        <v>7</v>
      </c>
      <c r="J266" s="5" t="s">
        <v>8</v>
      </c>
      <c r="K266" s="5" t="s">
        <v>168</v>
      </c>
      <c r="L266" s="5" t="s">
        <v>10</v>
      </c>
      <c r="M266" s="5" t="s">
        <v>11</v>
      </c>
      <c r="N266" s="5" t="s">
        <v>12</v>
      </c>
      <c r="O266" s="5" t="s">
        <v>13</v>
      </c>
      <c r="P266" s="5" t="s">
        <v>14</v>
      </c>
      <c r="Q266" s="5" t="s">
        <v>15</v>
      </c>
      <c r="R266" s="5" t="s">
        <v>16</v>
      </c>
      <c r="S266" s="5" t="s">
        <v>17</v>
      </c>
      <c r="T266" s="5" t="s">
        <v>18</v>
      </c>
      <c r="U266" s="5" t="s">
        <v>19</v>
      </c>
      <c r="X266" s="5"/>
      <c r="Y266" s="5"/>
      <c r="Z266" s="5"/>
      <c r="AA266" s="5"/>
      <c r="AB266" s="5"/>
      <c r="AC266" s="5"/>
      <c r="AD266" s="5"/>
      <c r="AE266" s="5"/>
    </row>
    <row r="271" spans="2:31" s="4" customFormat="1">
      <c r="B271" s="4" t="s">
        <v>196</v>
      </c>
      <c r="C271" s="4" t="s">
        <v>3</v>
      </c>
      <c r="F271" s="5" t="s">
        <v>4</v>
      </c>
      <c r="G271" s="5" t="s">
        <v>5</v>
      </c>
      <c r="H271" s="5" t="s">
        <v>6</v>
      </c>
      <c r="I271" s="5" t="s">
        <v>7</v>
      </c>
      <c r="J271" s="5" t="s">
        <v>8</v>
      </c>
      <c r="K271" s="5" t="s">
        <v>168</v>
      </c>
      <c r="L271" s="5" t="s">
        <v>10</v>
      </c>
      <c r="M271" s="5" t="s">
        <v>11</v>
      </c>
      <c r="N271" s="5" t="s">
        <v>12</v>
      </c>
      <c r="O271" s="5" t="s">
        <v>13</v>
      </c>
      <c r="P271" s="5" t="s">
        <v>14</v>
      </c>
      <c r="Q271" s="5" t="s">
        <v>15</v>
      </c>
      <c r="R271" s="5" t="s">
        <v>16</v>
      </c>
      <c r="S271" s="5" t="s">
        <v>17</v>
      </c>
      <c r="T271" s="5" t="s">
        <v>18</v>
      </c>
      <c r="U271" s="5" t="s">
        <v>19</v>
      </c>
      <c r="X271" s="5" t="s">
        <v>20</v>
      </c>
      <c r="Y271" s="5" t="s">
        <v>21</v>
      </c>
      <c r="Z271" s="5" t="s">
        <v>22</v>
      </c>
      <c r="AA271" s="5" t="s">
        <v>23</v>
      </c>
      <c r="AB271" s="5" t="s">
        <v>24</v>
      </c>
      <c r="AC271" s="5" t="s">
        <v>25</v>
      </c>
      <c r="AD271" s="5" t="s">
        <v>26</v>
      </c>
      <c r="AE271" s="5" t="s">
        <v>27</v>
      </c>
    </row>
    <row r="272" spans="2:31">
      <c r="B272" s="32" t="s">
        <v>197</v>
      </c>
      <c r="C272" s="1" t="s">
        <v>198</v>
      </c>
    </row>
    <row r="273" spans="2:31">
      <c r="C273" s="1" t="s">
        <v>199</v>
      </c>
      <c r="F273" s="1">
        <f>[1]中国城市人口GDP!P3/100</f>
        <v>70.737499999999997</v>
      </c>
      <c r="G273" s="1">
        <f>[1]中国城市人口GDP!Q3/100</f>
        <v>71.877900000000011</v>
      </c>
      <c r="H273" s="1">
        <f>[1]中国城市人口GDP!R3/100</f>
        <v>72.917000000000002</v>
      </c>
      <c r="I273" s="1">
        <f>[1]中国城市人口GDP!S3/100</f>
        <v>73.710800000000006</v>
      </c>
      <c r="J273" s="1">
        <f>[1]中国城市人口GDP!T3/100</f>
        <v>74.564700000000002</v>
      </c>
      <c r="K273" s="1">
        <f>J273*(1+K274)</f>
        <v>75.310347000000007</v>
      </c>
      <c r="L273" s="1">
        <f t="shared" ref="L273:P273" si="225">K273*(1+L274)</f>
        <v>76.063450470000006</v>
      </c>
      <c r="M273" s="1">
        <f t="shared" si="225"/>
        <v>76.824084974700014</v>
      </c>
      <c r="N273" s="1">
        <f t="shared" si="225"/>
        <v>77.592325824447016</v>
      </c>
      <c r="O273" s="1">
        <f t="shared" si="225"/>
        <v>78.368249082691491</v>
      </c>
      <c r="P273" s="1">
        <f t="shared" si="225"/>
        <v>79.151931573518411</v>
      </c>
      <c r="Q273" s="1">
        <f>P273*(1+Q274)</f>
        <v>79.943450889253597</v>
      </c>
      <c r="R273" s="1">
        <f t="shared" ref="R273:U273" si="226">Q273*(1+R274)</f>
        <v>80.742885398146129</v>
      </c>
      <c r="S273" s="1">
        <f t="shared" si="226"/>
        <v>81.550314252127592</v>
      </c>
      <c r="T273" s="1">
        <f t="shared" si="226"/>
        <v>82.365817394648872</v>
      </c>
      <c r="U273" s="1">
        <f t="shared" si="226"/>
        <v>83.189475568595356</v>
      </c>
    </row>
    <row r="274" spans="2:31" s="8" customFormat="1">
      <c r="D274" s="8" t="s">
        <v>30</v>
      </c>
      <c r="G274" s="8">
        <f t="shared" ref="G274:I274" si="227">G273/F273-1</f>
        <v>1.6121576250221148E-2</v>
      </c>
      <c r="H274" s="8">
        <f t="shared" si="227"/>
        <v>1.4456460191519138E-2</v>
      </c>
      <c r="I274" s="8">
        <f t="shared" si="227"/>
        <v>1.0886350233827669E-2</v>
      </c>
      <c r="J274" s="8">
        <f>J273/I273-1</f>
        <v>1.1584462521095906E-2</v>
      </c>
      <c r="K274" s="9">
        <v>0.01</v>
      </c>
      <c r="L274" s="9">
        <v>0.01</v>
      </c>
      <c r="M274" s="9">
        <v>0.01</v>
      </c>
      <c r="N274" s="9">
        <v>0.01</v>
      </c>
      <c r="O274" s="9">
        <v>0.01</v>
      </c>
      <c r="P274" s="9">
        <v>0.01</v>
      </c>
      <c r="Q274" s="9">
        <v>0.01</v>
      </c>
      <c r="R274" s="9">
        <v>0.01</v>
      </c>
      <c r="S274" s="9">
        <v>0.01</v>
      </c>
      <c r="T274" s="9">
        <v>0.01</v>
      </c>
      <c r="U274" s="9">
        <v>0.01</v>
      </c>
    </row>
    <row r="275" spans="2:31">
      <c r="C275" s="1" t="s">
        <v>200</v>
      </c>
      <c r="F275" s="1">
        <f>SUM([1]中国城市人口GDP!P10:P19,[1]中国城市人口GDP!P21,[1]中国城市人口GDP!P22,[1]中国城市人口GDP!P25,[1]中国城市人口GDP!P30:P32,[1]中国城市人口GDP!P38:P39,[1]中国城市人口GDP!P43,[1]中国城市人口GDP!P45:P54,[1]中国城市人口GDP!P56)/100</f>
        <v>246.26930000000007</v>
      </c>
      <c r="G275" s="1">
        <f>SUM([1]中国城市人口GDP!Q10:Q19,[1]中国城市人口GDP!Q21,[1]中国城市人口GDP!Q22,[1]中国城市人口GDP!Q25,[1]中国城市人口GDP!Q30:Q32,[1]中国城市人口GDP!Q38:Q39,[1]中国城市人口GDP!Q43,[1]中国城市人口GDP!Q45:Q54,[1]中国城市人口GDP!Q56)/100</f>
        <v>249.62579999999997</v>
      </c>
      <c r="H275" s="1">
        <f>SUM([1]中国城市人口GDP!R10:R19,[1]中国城市人口GDP!R21,[1]中国城市人口GDP!R22,[1]中国城市人口GDP!R25,[1]中国城市人口GDP!R30:R32,[1]中国城市人口GDP!R38:R39,[1]中国城市人口GDP!R43,[1]中国城市人口GDP!R45:R54,[1]中国城市人口GDP!R56)/100</f>
        <v>253.40490000000003</v>
      </c>
      <c r="I275" s="1">
        <f>SUM([1]中国城市人口GDP!S10:S19,[1]中国城市人口GDP!S21,[1]中国城市人口GDP!S22,[1]中国城市人口GDP!S25,[1]中国城市人口GDP!S30:S32,[1]中国城市人口GDP!S38:S39,[1]中国城市人口GDP!S43,[1]中国城市人口GDP!S45:S54,[1]中国城市人口GDP!S56)/100</f>
        <v>256.87750000000005</v>
      </c>
      <c r="J275" s="1">
        <f>SUM([1]中国城市人口GDP!T10:T19,[1]中国城市人口GDP!T21,[1]中国城市人口GDP!T22,[1]中国城市人口GDP!T25,[1]中国城市人口GDP!T30:T32,[1]中国城市人口GDP!T38:T39,[1]中国城市人口GDP!T43,[1]中国城市人口GDP!T45:T54,[1]中国城市人口GDP!T56)/100</f>
        <v>261.62130000000002</v>
      </c>
      <c r="K275" s="1">
        <f>J275*(1+K276)</f>
        <v>265.54561949999999</v>
      </c>
      <c r="L275" s="1">
        <f t="shared" ref="L275:P275" si="228">K275*(1+L276)</f>
        <v>269.52880379249996</v>
      </c>
      <c r="M275" s="1">
        <f t="shared" si="228"/>
        <v>273.57173584938744</v>
      </c>
      <c r="N275" s="1">
        <f t="shared" si="228"/>
        <v>277.6753118871282</v>
      </c>
      <c r="O275" s="1">
        <f t="shared" si="228"/>
        <v>281.84044156543507</v>
      </c>
      <c r="P275" s="1">
        <f t="shared" si="228"/>
        <v>286.06804818891658</v>
      </c>
      <c r="Q275" s="1">
        <f>P275*(1+Q276)</f>
        <v>290.35906891175028</v>
      </c>
      <c r="R275" s="1">
        <f t="shared" ref="R275:U275" si="229">Q275*(1+R276)</f>
        <v>294.7144549454265</v>
      </c>
      <c r="S275" s="1">
        <f t="shared" si="229"/>
        <v>299.13517176960784</v>
      </c>
      <c r="T275" s="1">
        <f t="shared" si="229"/>
        <v>303.62219934615194</v>
      </c>
      <c r="U275" s="1">
        <f t="shared" si="229"/>
        <v>308.17653233634417</v>
      </c>
    </row>
    <row r="276" spans="2:31" s="8" customFormat="1">
      <c r="D276" s="8" t="s">
        <v>30</v>
      </c>
      <c r="G276" s="8">
        <f t="shared" ref="G276:I276" si="230">G275/F275-1</f>
        <v>1.3629388640808537E-2</v>
      </c>
      <c r="H276" s="8">
        <f t="shared" si="230"/>
        <v>1.5139060145225702E-2</v>
      </c>
      <c r="I276" s="8">
        <f t="shared" si="230"/>
        <v>1.3703760266672083E-2</v>
      </c>
      <c r="J276" s="8">
        <f>J275/I275-1</f>
        <v>1.8467168202742412E-2</v>
      </c>
      <c r="K276" s="9">
        <v>1.4999999999999999E-2</v>
      </c>
      <c r="L276" s="9">
        <v>1.4999999999999999E-2</v>
      </c>
      <c r="M276" s="9">
        <v>1.4999999999999999E-2</v>
      </c>
      <c r="N276" s="9">
        <v>1.4999999999999999E-2</v>
      </c>
      <c r="O276" s="9">
        <v>1.4999999999999999E-2</v>
      </c>
      <c r="P276" s="9">
        <v>1.4999999999999999E-2</v>
      </c>
      <c r="Q276" s="9">
        <v>1.4999999999999999E-2</v>
      </c>
      <c r="R276" s="9">
        <v>1.4999999999999999E-2</v>
      </c>
      <c r="S276" s="9">
        <v>1.4999999999999999E-2</v>
      </c>
      <c r="T276" s="9">
        <v>1.4999999999999999E-2</v>
      </c>
      <c r="U276" s="9">
        <v>1.4999999999999999E-2</v>
      </c>
    </row>
    <row r="278" spans="2:31" s="21" customFormat="1">
      <c r="B278" s="33" t="s">
        <v>201</v>
      </c>
      <c r="C278" s="33"/>
      <c r="D278" s="33"/>
      <c r="E278" s="33"/>
    </row>
    <row r="279" spans="2:31" s="6" customFormat="1">
      <c r="B279" s="6" t="s">
        <v>202</v>
      </c>
      <c r="F279" s="6">
        <f t="shared" ref="F279:I279" si="231">F280+F281+F282+F283</f>
        <v>146</v>
      </c>
      <c r="G279" s="6">
        <f t="shared" si="231"/>
        <v>176</v>
      </c>
      <c r="H279" s="6">
        <f t="shared" si="231"/>
        <v>273</v>
      </c>
      <c r="I279" s="6">
        <f t="shared" si="231"/>
        <v>466</v>
      </c>
      <c r="J279" s="6">
        <f>J280+J281+J282+J283</f>
        <v>768</v>
      </c>
      <c r="K279" s="6">
        <f>K280+K281+K282+K283</f>
        <v>1298</v>
      </c>
      <c r="L279" s="6">
        <f t="shared" ref="L279:U279" si="232">L312</f>
        <v>1698</v>
      </c>
      <c r="M279" s="6">
        <f t="shared" si="232"/>
        <v>2098</v>
      </c>
      <c r="N279" s="6">
        <f t="shared" si="232"/>
        <v>2398</v>
      </c>
      <c r="O279" s="6">
        <f t="shared" si="232"/>
        <v>2698</v>
      </c>
      <c r="P279" s="6">
        <f t="shared" si="232"/>
        <v>2998</v>
      </c>
      <c r="Q279" s="6">
        <f t="shared" si="232"/>
        <v>3298</v>
      </c>
      <c r="R279" s="6">
        <f t="shared" si="232"/>
        <v>3498</v>
      </c>
      <c r="S279" s="6">
        <f t="shared" si="232"/>
        <v>3698</v>
      </c>
      <c r="T279" s="6">
        <f t="shared" si="232"/>
        <v>3898</v>
      </c>
      <c r="U279" s="6">
        <f t="shared" si="232"/>
        <v>4098</v>
      </c>
      <c r="X279" s="6">
        <f t="shared" ref="X279:AB279" si="233">X280+X281+X282+X283</f>
        <v>203</v>
      </c>
      <c r="Y279" s="6">
        <f t="shared" si="233"/>
        <v>273</v>
      </c>
      <c r="Z279" s="6">
        <f t="shared" si="233"/>
        <v>341</v>
      </c>
      <c r="AA279" s="6">
        <f t="shared" si="233"/>
        <v>466</v>
      </c>
      <c r="AB279" s="6">
        <f t="shared" si="233"/>
        <v>593</v>
      </c>
      <c r="AC279" s="6">
        <f>AC280+AC281+AC282+AC283</f>
        <v>768</v>
      </c>
      <c r="AD279" s="6">
        <f>AD280+AD281+AD282+AD283</f>
        <v>935</v>
      </c>
      <c r="AE279" s="6">
        <f>AE280+AE281+AE282+AE283</f>
        <v>1298</v>
      </c>
    </row>
    <row r="280" spans="2:31">
      <c r="C280" s="1" t="s">
        <v>199</v>
      </c>
      <c r="F280" s="2">
        <v>50</v>
      </c>
      <c r="G280" s="2">
        <v>55</v>
      </c>
      <c r="H280" s="2">
        <v>65</v>
      </c>
      <c r="I280" s="2">
        <v>106</v>
      </c>
      <c r="J280" s="2">
        <v>190</v>
      </c>
      <c r="K280" s="2">
        <v>255</v>
      </c>
      <c r="L280" s="1">
        <f t="shared" ref="L280:U283" si="234">K280+L302</f>
        <v>300.05660377358492</v>
      </c>
      <c r="M280" s="1">
        <f t="shared" si="234"/>
        <v>341.11320754716985</v>
      </c>
      <c r="N280" s="1">
        <f t="shared" si="234"/>
        <v>368.90566037735852</v>
      </c>
      <c r="O280" s="1">
        <f t="shared" si="234"/>
        <v>393.69811320754718</v>
      </c>
      <c r="P280" s="1">
        <f t="shared" si="234"/>
        <v>415.49056603773585</v>
      </c>
      <c r="Q280" s="1">
        <f t="shared" si="234"/>
        <v>437.28301886792451</v>
      </c>
      <c r="R280" s="1">
        <f t="shared" si="234"/>
        <v>451.81132075471697</v>
      </c>
      <c r="S280" s="1">
        <f t="shared" si="234"/>
        <v>466.33962264150944</v>
      </c>
      <c r="T280" s="1">
        <f t="shared" si="234"/>
        <v>480.8679245283019</v>
      </c>
      <c r="U280" s="1">
        <f t="shared" si="234"/>
        <v>495.39622641509436</v>
      </c>
      <c r="X280" s="2">
        <v>57</v>
      </c>
      <c r="Y280" s="2">
        <v>65</v>
      </c>
      <c r="Z280" s="2">
        <v>78</v>
      </c>
      <c r="AA280" s="2">
        <v>106</v>
      </c>
      <c r="AB280" s="2">
        <v>146</v>
      </c>
      <c r="AC280" s="2">
        <v>190</v>
      </c>
      <c r="AD280" s="2">
        <v>212</v>
      </c>
      <c r="AE280" s="2">
        <v>255</v>
      </c>
    </row>
    <row r="281" spans="2:31">
      <c r="C281" s="1" t="s">
        <v>200</v>
      </c>
      <c r="F281" s="2">
        <v>71</v>
      </c>
      <c r="G281" s="2">
        <v>83</v>
      </c>
      <c r="H281" s="2">
        <v>120</v>
      </c>
      <c r="I281" s="2">
        <v>207</v>
      </c>
      <c r="J281" s="2">
        <v>332</v>
      </c>
      <c r="K281" s="2">
        <v>499</v>
      </c>
      <c r="L281" s="1">
        <f t="shared" si="234"/>
        <v>639</v>
      </c>
      <c r="M281" s="1">
        <f t="shared" si="234"/>
        <v>779</v>
      </c>
      <c r="N281" s="1">
        <f t="shared" si="234"/>
        <v>884</v>
      </c>
      <c r="O281" s="1">
        <f t="shared" si="234"/>
        <v>989</v>
      </c>
      <c r="P281" s="1">
        <f t="shared" si="234"/>
        <v>1094</v>
      </c>
      <c r="Q281" s="1">
        <f t="shared" si="234"/>
        <v>1199</v>
      </c>
      <c r="R281" s="1">
        <f t="shared" si="234"/>
        <v>1269</v>
      </c>
      <c r="S281" s="1">
        <f t="shared" si="234"/>
        <v>1339</v>
      </c>
      <c r="T281" s="1">
        <f t="shared" si="234"/>
        <v>1409</v>
      </c>
      <c r="U281" s="1">
        <f t="shared" si="234"/>
        <v>1479</v>
      </c>
      <c r="X281" s="2">
        <v>95</v>
      </c>
      <c r="Y281" s="2">
        <v>120</v>
      </c>
      <c r="Z281" s="2">
        <v>153</v>
      </c>
      <c r="AA281" s="2">
        <v>207</v>
      </c>
      <c r="AB281" s="2">
        <v>257</v>
      </c>
      <c r="AC281" s="2">
        <v>332</v>
      </c>
      <c r="AD281" s="2">
        <v>389</v>
      </c>
      <c r="AE281" s="2">
        <v>499</v>
      </c>
    </row>
    <row r="282" spans="2:31">
      <c r="C282" s="1" t="s">
        <v>203</v>
      </c>
      <c r="F282" s="2">
        <v>18</v>
      </c>
      <c r="G282" s="2">
        <v>29</v>
      </c>
      <c r="H282" s="2">
        <v>69</v>
      </c>
      <c r="I282" s="2">
        <v>117</v>
      </c>
      <c r="J282" s="2">
        <v>194</v>
      </c>
      <c r="K282" s="2">
        <v>451</v>
      </c>
      <c r="L282" s="1">
        <f t="shared" si="234"/>
        <v>648.96226415094338</v>
      </c>
      <c r="M282" s="1">
        <f t="shared" si="234"/>
        <v>850.92452830188677</v>
      </c>
      <c r="N282" s="1">
        <f t="shared" si="234"/>
        <v>1005.3962264150944</v>
      </c>
      <c r="O282" s="1">
        <f t="shared" si="234"/>
        <v>1162.867924528302</v>
      </c>
      <c r="P282" s="1">
        <f t="shared" si="234"/>
        <v>1323.3396226415095</v>
      </c>
      <c r="Q282" s="1">
        <f t="shared" si="234"/>
        <v>1483.8113207547171</v>
      </c>
      <c r="R282" s="1">
        <f t="shared" si="234"/>
        <v>1590.7924528301889</v>
      </c>
      <c r="S282" s="1">
        <f t="shared" si="234"/>
        <v>1697.7735849056608</v>
      </c>
      <c r="T282" s="1">
        <f t="shared" si="234"/>
        <v>1804.7547169811326</v>
      </c>
      <c r="U282" s="1">
        <f t="shared" si="234"/>
        <v>1911.7358490566044</v>
      </c>
      <c r="X282" s="2">
        <v>39</v>
      </c>
      <c r="Y282" s="2">
        <v>69</v>
      </c>
      <c r="Z282" s="2">
        <v>85</v>
      </c>
      <c r="AA282" s="2">
        <v>117</v>
      </c>
      <c r="AB282" s="2">
        <v>147</v>
      </c>
      <c r="AC282" s="2">
        <v>194</v>
      </c>
      <c r="AD282" s="2">
        <v>267</v>
      </c>
      <c r="AE282" s="2">
        <v>451</v>
      </c>
    </row>
    <row r="283" spans="2:31">
      <c r="C283" s="1" t="s">
        <v>204</v>
      </c>
      <c r="F283" s="2">
        <v>7</v>
      </c>
      <c r="G283" s="2">
        <v>9</v>
      </c>
      <c r="H283" s="2">
        <v>19</v>
      </c>
      <c r="I283" s="2">
        <v>36</v>
      </c>
      <c r="J283" s="2">
        <v>52</v>
      </c>
      <c r="K283" s="2">
        <v>93</v>
      </c>
      <c r="L283" s="1">
        <f t="shared" si="234"/>
        <v>109.98113207547172</v>
      </c>
      <c r="M283" s="1">
        <f t="shared" si="234"/>
        <v>126.96226415094338</v>
      </c>
      <c r="N283" s="1">
        <f t="shared" si="234"/>
        <v>139.69811320754712</v>
      </c>
      <c r="O283" s="1">
        <f t="shared" si="234"/>
        <v>152.43396226415086</v>
      </c>
      <c r="P283" s="1">
        <f t="shared" si="234"/>
        <v>165.1698113207546</v>
      </c>
      <c r="Q283" s="1">
        <f t="shared" si="234"/>
        <v>177.90566037735834</v>
      </c>
      <c r="R283" s="1">
        <f t="shared" si="234"/>
        <v>186.39622641509419</v>
      </c>
      <c r="S283" s="1">
        <f t="shared" si="234"/>
        <v>194.88679245283004</v>
      </c>
      <c r="T283" s="1">
        <f t="shared" si="234"/>
        <v>203.37735849056588</v>
      </c>
      <c r="U283" s="1">
        <f t="shared" si="234"/>
        <v>211.86792452830173</v>
      </c>
      <c r="X283" s="2">
        <v>12</v>
      </c>
      <c r="Y283" s="2">
        <v>19</v>
      </c>
      <c r="Z283" s="2">
        <v>25</v>
      </c>
      <c r="AA283" s="2">
        <v>36</v>
      </c>
      <c r="AB283" s="2">
        <v>43</v>
      </c>
      <c r="AC283" s="2">
        <v>52</v>
      </c>
      <c r="AD283" s="2">
        <v>67</v>
      </c>
      <c r="AE283" s="2">
        <v>93</v>
      </c>
    </row>
    <row r="285" spans="2:31" s="23" customFormat="1" ht="19">
      <c r="C285" s="34" t="s">
        <v>30</v>
      </c>
      <c r="G285" s="8">
        <f t="shared" ref="G285:U289" si="235">G279/F279-1</f>
        <v>0.20547945205479445</v>
      </c>
      <c r="H285" s="8">
        <f t="shared" si="235"/>
        <v>0.55113636363636354</v>
      </c>
      <c r="I285" s="8">
        <f t="shared" si="235"/>
        <v>0.70695970695970689</v>
      </c>
      <c r="J285" s="8">
        <f t="shared" si="235"/>
        <v>0.64806866952789699</v>
      </c>
      <c r="K285" s="8">
        <f t="shared" si="235"/>
        <v>0.69010416666666674</v>
      </c>
      <c r="L285" s="8">
        <f t="shared" si="235"/>
        <v>0.30816640986132504</v>
      </c>
      <c r="M285" s="8">
        <f t="shared" si="235"/>
        <v>0.23557126030624254</v>
      </c>
      <c r="N285" s="8">
        <f t="shared" si="235"/>
        <v>0.14299332697807432</v>
      </c>
      <c r="O285" s="8">
        <f t="shared" si="235"/>
        <v>0.12510425354462051</v>
      </c>
      <c r="P285" s="8">
        <f t="shared" si="235"/>
        <v>0.11119347664936985</v>
      </c>
      <c r="Q285" s="8">
        <f t="shared" si="235"/>
        <v>0.10006671114076049</v>
      </c>
      <c r="R285" s="8">
        <f t="shared" si="235"/>
        <v>6.0642813826561559E-2</v>
      </c>
      <c r="S285" s="8">
        <f t="shared" si="235"/>
        <v>5.717552887364219E-2</v>
      </c>
      <c r="T285" s="8">
        <f t="shared" si="235"/>
        <v>5.4083288263926388E-2</v>
      </c>
      <c r="U285" s="8">
        <f t="shared" si="235"/>
        <v>5.1308363263211865E-2</v>
      </c>
      <c r="Z285" s="8">
        <f>Z279/X279-1</f>
        <v>0.67980295566502469</v>
      </c>
      <c r="AA285" s="8">
        <f t="shared" ref="AA285:AE289" si="236">AA279/Y279-1</f>
        <v>0.70695970695970689</v>
      </c>
      <c r="AB285" s="8">
        <f t="shared" si="236"/>
        <v>0.73900293255131966</v>
      </c>
      <c r="AC285" s="8">
        <f t="shared" si="236"/>
        <v>0.64806866952789699</v>
      </c>
      <c r="AD285" s="8">
        <f t="shared" si="236"/>
        <v>0.57672849915682978</v>
      </c>
      <c r="AE285" s="8">
        <f t="shared" si="236"/>
        <v>0.69010416666666674</v>
      </c>
    </row>
    <row r="286" spans="2:31" s="23" customFormat="1">
      <c r="C286" s="23" t="s">
        <v>199</v>
      </c>
      <c r="G286" s="8">
        <f>G280/F280-1</f>
        <v>0.10000000000000009</v>
      </c>
      <c r="H286" s="8">
        <f t="shared" si="235"/>
        <v>0.18181818181818188</v>
      </c>
      <c r="I286" s="8">
        <f t="shared" si="235"/>
        <v>0.63076923076923075</v>
      </c>
      <c r="J286" s="8">
        <f t="shared" si="235"/>
        <v>0.79245283018867929</v>
      </c>
      <c r="K286" s="8">
        <f t="shared" si="235"/>
        <v>0.34210526315789469</v>
      </c>
      <c r="L286" s="8">
        <f t="shared" si="235"/>
        <v>0.17669256381798015</v>
      </c>
      <c r="M286" s="8">
        <f t="shared" si="235"/>
        <v>0.13682952901968193</v>
      </c>
      <c r="N286" s="8">
        <f t="shared" si="235"/>
        <v>8.1475745339897099E-2</v>
      </c>
      <c r="O286" s="8">
        <f t="shared" si="235"/>
        <v>6.7205400981996677E-2</v>
      </c>
      <c r="P286" s="8">
        <f t="shared" si="235"/>
        <v>5.5353206172721103E-2</v>
      </c>
      <c r="Q286" s="8">
        <f t="shared" si="235"/>
        <v>5.2449934153762312E-2</v>
      </c>
      <c r="R286" s="8">
        <f t="shared" si="235"/>
        <v>3.3224024853296452E-2</v>
      </c>
      <c r="S286" s="8">
        <f t="shared" si="235"/>
        <v>3.2155683621481579E-2</v>
      </c>
      <c r="T286" s="8">
        <f t="shared" si="235"/>
        <v>3.1153908399417451E-2</v>
      </c>
      <c r="U286" s="8">
        <f t="shared" si="235"/>
        <v>3.0212665777289427E-2</v>
      </c>
      <c r="Z286" s="8">
        <f t="shared" ref="Z286:Z289" si="237">Z280/X280-1</f>
        <v>0.36842105263157898</v>
      </c>
      <c r="AA286" s="8">
        <f t="shared" si="236"/>
        <v>0.63076923076923075</v>
      </c>
      <c r="AB286" s="8">
        <f t="shared" si="236"/>
        <v>0.87179487179487181</v>
      </c>
      <c r="AC286" s="8">
        <f t="shared" si="236"/>
        <v>0.79245283018867929</v>
      </c>
      <c r="AD286" s="8">
        <f t="shared" si="236"/>
        <v>0.45205479452054798</v>
      </c>
      <c r="AE286" s="8">
        <f t="shared" si="236"/>
        <v>0.34210526315789469</v>
      </c>
    </row>
    <row r="287" spans="2:31" s="23" customFormat="1">
      <c r="C287" s="23" t="s">
        <v>200</v>
      </c>
      <c r="G287" s="8">
        <f t="shared" ref="G287:J289" si="238">G281/F281-1</f>
        <v>0.16901408450704225</v>
      </c>
      <c r="H287" s="8">
        <f t="shared" si="238"/>
        <v>0.44578313253012047</v>
      </c>
      <c r="I287" s="8">
        <f t="shared" si="238"/>
        <v>0.72500000000000009</v>
      </c>
      <c r="J287" s="8">
        <f t="shared" si="238"/>
        <v>0.60386473429951693</v>
      </c>
      <c r="K287" s="8">
        <f t="shared" si="235"/>
        <v>0.50301204819277112</v>
      </c>
      <c r="L287" s="8">
        <f t="shared" si="235"/>
        <v>0.28056112224448904</v>
      </c>
      <c r="M287" s="8">
        <f t="shared" si="235"/>
        <v>0.21909233176838816</v>
      </c>
      <c r="N287" s="8">
        <f t="shared" si="235"/>
        <v>0.13478818998716302</v>
      </c>
      <c r="O287" s="8">
        <f t="shared" si="235"/>
        <v>0.11877828054298645</v>
      </c>
      <c r="P287" s="8">
        <f t="shared" si="235"/>
        <v>0.10616784630940335</v>
      </c>
      <c r="Q287" s="8">
        <f t="shared" si="235"/>
        <v>9.5978062157221267E-2</v>
      </c>
      <c r="R287" s="8">
        <f t="shared" si="235"/>
        <v>5.8381984987489588E-2</v>
      </c>
      <c r="S287" s="8">
        <f t="shared" si="235"/>
        <v>5.5161544523246731E-2</v>
      </c>
      <c r="T287" s="8">
        <f t="shared" si="235"/>
        <v>5.2277819268110592E-2</v>
      </c>
      <c r="U287" s="8">
        <f t="shared" si="235"/>
        <v>4.968062455642297E-2</v>
      </c>
      <c r="Z287" s="8">
        <f t="shared" si="237"/>
        <v>0.61052631578947358</v>
      </c>
      <c r="AA287" s="8">
        <f t="shared" si="236"/>
        <v>0.72500000000000009</v>
      </c>
      <c r="AB287" s="8">
        <f t="shared" si="236"/>
        <v>0.6797385620915033</v>
      </c>
      <c r="AC287" s="8">
        <f t="shared" si="236"/>
        <v>0.60386473429951693</v>
      </c>
      <c r="AD287" s="8">
        <f t="shared" si="236"/>
        <v>0.51361867704280151</v>
      </c>
      <c r="AE287" s="8">
        <f t="shared" si="236"/>
        <v>0.50301204819277112</v>
      </c>
    </row>
    <row r="288" spans="2:31" s="23" customFormat="1">
      <c r="C288" s="23" t="s">
        <v>203</v>
      </c>
      <c r="G288" s="8">
        <f t="shared" si="238"/>
        <v>0.61111111111111116</v>
      </c>
      <c r="H288" s="8">
        <f t="shared" si="238"/>
        <v>1.3793103448275863</v>
      </c>
      <c r="I288" s="8">
        <f t="shared" si="238"/>
        <v>0.69565217391304346</v>
      </c>
      <c r="J288" s="8">
        <f t="shared" si="238"/>
        <v>0.65811965811965822</v>
      </c>
      <c r="K288" s="8">
        <f t="shared" si="235"/>
        <v>1.3247422680412373</v>
      </c>
      <c r="L288" s="8">
        <f t="shared" si="235"/>
        <v>0.4389407187382337</v>
      </c>
      <c r="M288" s="8">
        <f t="shared" si="235"/>
        <v>0.31120802442215445</v>
      </c>
      <c r="N288" s="8">
        <f t="shared" si="235"/>
        <v>0.18153395862435984</v>
      </c>
      <c r="O288" s="8">
        <f t="shared" si="235"/>
        <v>0.15662650602409633</v>
      </c>
      <c r="P288" s="8">
        <f t="shared" si="235"/>
        <v>0.1379964953271029</v>
      </c>
      <c r="Q288" s="8">
        <f t="shared" si="235"/>
        <v>0.12126267162838444</v>
      </c>
      <c r="R288" s="8">
        <f t="shared" si="235"/>
        <v>7.2098878461890559E-2</v>
      </c>
      <c r="S288" s="8">
        <f t="shared" si="235"/>
        <v>6.7250213492741295E-2</v>
      </c>
      <c r="T288" s="8">
        <f t="shared" si="235"/>
        <v>6.3012602520504224E-2</v>
      </c>
      <c r="U288" s="8">
        <f t="shared" si="235"/>
        <v>5.9277380504328292E-2</v>
      </c>
      <c r="Z288" s="8">
        <f t="shared" si="237"/>
        <v>1.1794871794871793</v>
      </c>
      <c r="AA288" s="8">
        <f t="shared" si="236"/>
        <v>0.69565217391304346</v>
      </c>
      <c r="AB288" s="8">
        <f t="shared" si="236"/>
        <v>0.72941176470588243</v>
      </c>
      <c r="AC288" s="8">
        <f t="shared" si="236"/>
        <v>0.65811965811965822</v>
      </c>
      <c r="AD288" s="8">
        <f t="shared" si="236"/>
        <v>0.81632653061224492</v>
      </c>
      <c r="AE288" s="8">
        <f t="shared" si="236"/>
        <v>1.3247422680412373</v>
      </c>
    </row>
    <row r="289" spans="3:31" s="23" customFormat="1">
      <c r="C289" s="23" t="s">
        <v>204</v>
      </c>
      <c r="G289" s="8">
        <f t="shared" si="238"/>
        <v>0.28571428571428581</v>
      </c>
      <c r="H289" s="8">
        <f t="shared" si="238"/>
        <v>1.1111111111111112</v>
      </c>
      <c r="I289" s="8">
        <f t="shared" si="238"/>
        <v>0.89473684210526305</v>
      </c>
      <c r="J289" s="8">
        <f t="shared" si="238"/>
        <v>0.44444444444444442</v>
      </c>
      <c r="K289" s="8">
        <f t="shared" si="235"/>
        <v>0.78846153846153855</v>
      </c>
      <c r="L289" s="8">
        <f t="shared" si="235"/>
        <v>0.18259281801582494</v>
      </c>
      <c r="M289" s="8">
        <f t="shared" si="235"/>
        <v>0.15440041173443086</v>
      </c>
      <c r="N289" s="8">
        <f t="shared" si="235"/>
        <v>0.10031208203299125</v>
      </c>
      <c r="O289" s="8">
        <f t="shared" si="235"/>
        <v>9.1166936790923581E-2</v>
      </c>
      <c r="P289" s="8">
        <f t="shared" si="235"/>
        <v>8.3549944300036927E-2</v>
      </c>
      <c r="Q289" s="8">
        <f t="shared" si="235"/>
        <v>7.7107607950650969E-2</v>
      </c>
      <c r="R289" s="8">
        <f t="shared" si="235"/>
        <v>4.7725103404390623E-2</v>
      </c>
      <c r="S289" s="8">
        <f t="shared" si="235"/>
        <v>4.5551169146674786E-2</v>
      </c>
      <c r="T289" s="8">
        <f t="shared" si="235"/>
        <v>4.3566656985187358E-2</v>
      </c>
      <c r="U289" s="8">
        <f t="shared" si="235"/>
        <v>4.1747843028110188E-2</v>
      </c>
      <c r="Z289" s="8">
        <f t="shared" si="237"/>
        <v>1.0833333333333335</v>
      </c>
      <c r="AA289" s="8">
        <f t="shared" si="236"/>
        <v>0.89473684210526305</v>
      </c>
      <c r="AB289" s="8">
        <f t="shared" si="236"/>
        <v>0.72</v>
      </c>
      <c r="AC289" s="8">
        <f t="shared" si="236"/>
        <v>0.44444444444444442</v>
      </c>
      <c r="AD289" s="8">
        <f t="shared" si="236"/>
        <v>0.55813953488372103</v>
      </c>
      <c r="AE289" s="8">
        <f t="shared" si="236"/>
        <v>0.78846153846153855</v>
      </c>
    </row>
    <row r="291" spans="3:31" s="23" customFormat="1" ht="19">
      <c r="C291" s="34" t="s">
        <v>36</v>
      </c>
    </row>
    <row r="292" spans="3:31" s="23" customFormat="1">
      <c r="C292" s="23" t="s">
        <v>199</v>
      </c>
      <c r="G292" s="8">
        <f>G280/G$279</f>
        <v>0.3125</v>
      </c>
      <c r="H292" s="8">
        <f t="shared" ref="H292:U295" si="239">H280/H$279</f>
        <v>0.23809523809523808</v>
      </c>
      <c r="I292" s="8">
        <f t="shared" si="239"/>
        <v>0.22746781115879827</v>
      </c>
      <c r="J292" s="8">
        <f t="shared" si="239"/>
        <v>0.24739583333333334</v>
      </c>
      <c r="K292" s="8">
        <f t="shared" si="239"/>
        <v>0.19645608628659475</v>
      </c>
      <c r="L292" s="8">
        <f t="shared" si="239"/>
        <v>0.17671178078538571</v>
      </c>
      <c r="M292" s="8">
        <f t="shared" si="239"/>
        <v>0.16258970807777401</v>
      </c>
      <c r="N292" s="8">
        <f t="shared" si="239"/>
        <v>0.15383889089964908</v>
      </c>
      <c r="O292" s="8">
        <f t="shared" si="239"/>
        <v>0.14592220652614796</v>
      </c>
      <c r="P292" s="8">
        <f t="shared" si="239"/>
        <v>0.13858924817803064</v>
      </c>
      <c r="Q292" s="8">
        <f t="shared" si="239"/>
        <v>0.13259036351362175</v>
      </c>
      <c r="R292" s="8">
        <f t="shared" si="239"/>
        <v>0.12916275607624841</v>
      </c>
      <c r="S292" s="8">
        <f t="shared" si="239"/>
        <v>0.12610590120105716</v>
      </c>
      <c r="T292" s="8">
        <f t="shared" si="239"/>
        <v>0.12336273076662439</v>
      </c>
      <c r="U292" s="8">
        <f t="shared" si="239"/>
        <v>0.12088731732920799</v>
      </c>
    </row>
    <row r="293" spans="3:31" s="23" customFormat="1">
      <c r="C293" s="23" t="s">
        <v>200</v>
      </c>
      <c r="G293" s="8">
        <f t="shared" ref="G293:J295" si="240">G281/G$279</f>
        <v>0.47159090909090912</v>
      </c>
      <c r="H293" s="8">
        <f t="shared" si="240"/>
        <v>0.43956043956043955</v>
      </c>
      <c r="I293" s="8">
        <f t="shared" si="240"/>
        <v>0.44420600858369097</v>
      </c>
      <c r="J293" s="8">
        <f t="shared" si="240"/>
        <v>0.43229166666666669</v>
      </c>
      <c r="K293" s="8">
        <f t="shared" si="239"/>
        <v>0.38443759630200308</v>
      </c>
      <c r="L293" s="8">
        <f t="shared" si="239"/>
        <v>0.37632508833922262</v>
      </c>
      <c r="M293" s="8">
        <f t="shared" si="239"/>
        <v>0.3713060057197331</v>
      </c>
      <c r="N293" s="8">
        <f t="shared" si="239"/>
        <v>0.36864053377814848</v>
      </c>
      <c r="O293" s="8">
        <f t="shared" si="239"/>
        <v>0.3665678280207561</v>
      </c>
      <c r="P293" s="8">
        <f t="shared" si="239"/>
        <v>0.36490993995997334</v>
      </c>
      <c r="Q293" s="8">
        <f t="shared" si="239"/>
        <v>0.36355366889023649</v>
      </c>
      <c r="R293" s="8">
        <f t="shared" si="239"/>
        <v>0.362778730703259</v>
      </c>
      <c r="S293" s="8">
        <f t="shared" si="239"/>
        <v>0.36208761492698754</v>
      </c>
      <c r="T293" s="8">
        <f t="shared" si="239"/>
        <v>0.36146741918932784</v>
      </c>
      <c r="U293" s="8">
        <f t="shared" si="239"/>
        <v>0.36090775988286972</v>
      </c>
    </row>
    <row r="294" spans="3:31" s="23" customFormat="1">
      <c r="C294" s="23" t="s">
        <v>203</v>
      </c>
      <c r="G294" s="8">
        <f t="shared" si="240"/>
        <v>0.16477272727272727</v>
      </c>
      <c r="H294" s="8">
        <f t="shared" si="240"/>
        <v>0.25274725274725274</v>
      </c>
      <c r="I294" s="8">
        <f t="shared" si="240"/>
        <v>0.25107296137339058</v>
      </c>
      <c r="J294" s="8">
        <f t="shared" si="240"/>
        <v>0.25260416666666669</v>
      </c>
      <c r="K294" s="8">
        <f t="shared" si="239"/>
        <v>0.34745762711864409</v>
      </c>
      <c r="L294" s="8">
        <f t="shared" si="239"/>
        <v>0.38219214614307617</v>
      </c>
      <c r="M294" s="8">
        <f t="shared" si="239"/>
        <v>0.40558843103045128</v>
      </c>
      <c r="N294" s="8">
        <f t="shared" si="239"/>
        <v>0.4192644814074622</v>
      </c>
      <c r="O294" s="8">
        <f t="shared" si="239"/>
        <v>0.43101109137446331</v>
      </c>
      <c r="P294" s="8">
        <f t="shared" si="239"/>
        <v>0.44140747919996981</v>
      </c>
      <c r="Q294" s="8">
        <f t="shared" si="239"/>
        <v>0.44991246839136362</v>
      </c>
      <c r="R294" s="8">
        <f t="shared" si="239"/>
        <v>0.45477199909382188</v>
      </c>
      <c r="S294" s="8">
        <f t="shared" si="239"/>
        <v>0.45910589099666327</v>
      </c>
      <c r="T294" s="8">
        <f t="shared" si="239"/>
        <v>0.46299505309931571</v>
      </c>
      <c r="U294" s="8">
        <f t="shared" si="239"/>
        <v>0.46650459957457402</v>
      </c>
    </row>
    <row r="295" spans="3:31" s="23" customFormat="1">
      <c r="C295" s="23" t="s">
        <v>204</v>
      </c>
      <c r="G295" s="8">
        <f t="shared" si="240"/>
        <v>5.113636363636364E-2</v>
      </c>
      <c r="H295" s="8">
        <f t="shared" si="240"/>
        <v>6.95970695970696E-2</v>
      </c>
      <c r="I295" s="8">
        <f t="shared" si="240"/>
        <v>7.7253218884120178E-2</v>
      </c>
      <c r="J295" s="8">
        <f t="shared" si="240"/>
        <v>6.7708333333333329E-2</v>
      </c>
      <c r="K295" s="8">
        <f t="shared" si="239"/>
        <v>7.1648690292758083E-2</v>
      </c>
      <c r="L295" s="8">
        <f t="shared" si="239"/>
        <v>6.4770984732315504E-2</v>
      </c>
      <c r="M295" s="8">
        <f t="shared" si="239"/>
        <v>6.0515855172041652E-2</v>
      </c>
      <c r="N295" s="8">
        <f t="shared" si="239"/>
        <v>5.8256093914740251E-2</v>
      </c>
      <c r="O295" s="8">
        <f t="shared" si="239"/>
        <v>5.649887407863264E-2</v>
      </c>
      <c r="P295" s="8">
        <f t="shared" si="239"/>
        <v>5.509333266202622E-2</v>
      </c>
      <c r="Q295" s="8">
        <f t="shared" si="239"/>
        <v>5.3943499204778152E-2</v>
      </c>
      <c r="R295" s="8">
        <f t="shared" si="239"/>
        <v>5.3286514126670723E-2</v>
      </c>
      <c r="S295" s="8">
        <f t="shared" si="239"/>
        <v>5.2700592875292059E-2</v>
      </c>
      <c r="T295" s="8">
        <f t="shared" si="239"/>
        <v>5.2174796944732142E-2</v>
      </c>
      <c r="U295" s="8">
        <f t="shared" si="239"/>
        <v>5.1700323213348394E-2</v>
      </c>
    </row>
    <row r="297" spans="3:31">
      <c r="C297" s="1" t="s">
        <v>107</v>
      </c>
      <c r="F297" s="2">
        <v>112</v>
      </c>
      <c r="G297" s="1">
        <f>F312</f>
        <v>146</v>
      </c>
      <c r="H297" s="1">
        <f t="shared" ref="H297:U297" si="241">G312</f>
        <v>176</v>
      </c>
      <c r="I297" s="1">
        <f t="shared" si="241"/>
        <v>273</v>
      </c>
      <c r="J297" s="1">
        <f t="shared" si="241"/>
        <v>466</v>
      </c>
      <c r="K297" s="1">
        <f t="shared" si="241"/>
        <v>768</v>
      </c>
      <c r="L297" s="1">
        <f t="shared" si="241"/>
        <v>1298</v>
      </c>
      <c r="M297" s="1">
        <f t="shared" si="241"/>
        <v>1698</v>
      </c>
      <c r="N297" s="1">
        <f t="shared" si="241"/>
        <v>2098</v>
      </c>
      <c r="O297" s="1">
        <f t="shared" si="241"/>
        <v>2398</v>
      </c>
      <c r="P297" s="1">
        <f t="shared" si="241"/>
        <v>2698</v>
      </c>
      <c r="Q297" s="1">
        <f t="shared" si="241"/>
        <v>2998</v>
      </c>
      <c r="R297" s="1">
        <f t="shared" si="241"/>
        <v>3298</v>
      </c>
      <c r="S297" s="1">
        <f t="shared" si="241"/>
        <v>3498</v>
      </c>
      <c r="T297" s="1">
        <f t="shared" si="241"/>
        <v>3698</v>
      </c>
      <c r="U297" s="1">
        <f t="shared" si="241"/>
        <v>3898</v>
      </c>
      <c r="Z297" s="1">
        <f t="shared" ref="Z297:AE297" si="242">Y312</f>
        <v>273</v>
      </c>
      <c r="AA297" s="1">
        <f t="shared" si="242"/>
        <v>341</v>
      </c>
      <c r="AB297" s="1">
        <f t="shared" si="242"/>
        <v>466</v>
      </c>
      <c r="AC297" s="1">
        <f t="shared" si="242"/>
        <v>593</v>
      </c>
      <c r="AD297" s="1">
        <f t="shared" si="242"/>
        <v>768</v>
      </c>
      <c r="AE297" s="1">
        <f t="shared" si="242"/>
        <v>935</v>
      </c>
    </row>
    <row r="298" spans="3:31">
      <c r="C298" s="1" t="s">
        <v>205</v>
      </c>
      <c r="F298" s="2">
        <v>36</v>
      </c>
      <c r="G298" s="2">
        <v>32</v>
      </c>
      <c r="H298" s="2">
        <v>98</v>
      </c>
      <c r="I298" s="2">
        <v>200</v>
      </c>
      <c r="J298" s="2">
        <v>308</v>
      </c>
      <c r="K298" s="2">
        <v>544</v>
      </c>
      <c r="L298" s="3">
        <v>400</v>
      </c>
      <c r="M298" s="3">
        <v>400</v>
      </c>
      <c r="N298" s="3">
        <v>300</v>
      </c>
      <c r="O298" s="3">
        <v>300</v>
      </c>
      <c r="P298" s="3">
        <v>300</v>
      </c>
      <c r="Q298" s="3">
        <v>300</v>
      </c>
      <c r="R298" s="3">
        <v>200</v>
      </c>
      <c r="S298" s="3">
        <v>200</v>
      </c>
      <c r="T298" s="3">
        <v>200</v>
      </c>
      <c r="U298" s="3">
        <v>200</v>
      </c>
      <c r="X298" s="2"/>
      <c r="Z298" s="2">
        <v>71</v>
      </c>
      <c r="AA298" s="1">
        <f>I298-Z298</f>
        <v>129</v>
      </c>
      <c r="AB298" s="2">
        <v>130</v>
      </c>
      <c r="AC298" s="1">
        <f>J298-AB298</f>
        <v>178</v>
      </c>
      <c r="AD298" s="2">
        <v>173</v>
      </c>
      <c r="AE298" s="1">
        <f>K298-AD298</f>
        <v>371</v>
      </c>
    </row>
    <row r="299" spans="3:31" s="12" customFormat="1">
      <c r="D299" s="12" t="s">
        <v>206</v>
      </c>
      <c r="F299" s="12">
        <f>F298/F297</f>
        <v>0.32142857142857145</v>
      </c>
      <c r="G299" s="12">
        <f t="shared" ref="G299:U299" si="243">G298/G297</f>
        <v>0.21917808219178081</v>
      </c>
      <c r="H299" s="12">
        <f t="shared" si="243"/>
        <v>0.55681818181818177</v>
      </c>
      <c r="I299" s="12">
        <f t="shared" si="243"/>
        <v>0.73260073260073255</v>
      </c>
      <c r="J299" s="12">
        <f t="shared" si="243"/>
        <v>0.66094420600858372</v>
      </c>
      <c r="K299" s="12">
        <f t="shared" si="243"/>
        <v>0.70833333333333337</v>
      </c>
      <c r="L299" s="12">
        <f t="shared" si="243"/>
        <v>0.3081664098613251</v>
      </c>
      <c r="M299" s="12">
        <f t="shared" si="243"/>
        <v>0.23557126030624265</v>
      </c>
      <c r="N299" s="12">
        <f t="shared" si="243"/>
        <v>0.14299332697807435</v>
      </c>
      <c r="O299" s="12">
        <f t="shared" si="243"/>
        <v>0.12510425354462051</v>
      </c>
      <c r="P299" s="12">
        <f t="shared" si="243"/>
        <v>0.1111934766493699</v>
      </c>
      <c r="Q299" s="12">
        <f t="shared" si="243"/>
        <v>0.1000667111407605</v>
      </c>
      <c r="R299" s="12">
        <f t="shared" si="243"/>
        <v>6.0642813826561552E-2</v>
      </c>
      <c r="S299" s="12">
        <f t="shared" si="243"/>
        <v>5.7175528873642079E-2</v>
      </c>
      <c r="T299" s="12">
        <f t="shared" si="243"/>
        <v>5.4083288263926443E-2</v>
      </c>
      <c r="U299" s="12">
        <f t="shared" si="243"/>
        <v>5.1308363263211906E-2</v>
      </c>
      <c r="AA299" s="12">
        <f t="shared" ref="AA299:AE299" si="244">AA298/AA297</f>
        <v>0.3782991202346041</v>
      </c>
      <c r="AB299" s="12">
        <f t="shared" si="244"/>
        <v>0.27896995708154504</v>
      </c>
      <c r="AC299" s="12">
        <f t="shared" si="244"/>
        <v>0.30016863406408095</v>
      </c>
      <c r="AD299" s="12">
        <f t="shared" si="244"/>
        <v>0.22526041666666666</v>
      </c>
      <c r="AE299" s="12">
        <f t="shared" si="244"/>
        <v>0.39679144385026738</v>
      </c>
    </row>
    <row r="300" spans="3:31">
      <c r="C300" s="1" t="s">
        <v>207</v>
      </c>
      <c r="F300" s="1">
        <f>F312-F298-F297</f>
        <v>-2</v>
      </c>
      <c r="G300" s="1">
        <f>G312-G298-G297</f>
        <v>-2</v>
      </c>
      <c r="H300" s="1">
        <f>H312-H298-H297</f>
        <v>-1</v>
      </c>
      <c r="I300" s="1">
        <f t="shared" ref="I300:K300" si="245">I312-I298-I297</f>
        <v>-7</v>
      </c>
      <c r="J300" s="1">
        <f t="shared" si="245"/>
        <v>-6</v>
      </c>
      <c r="K300" s="1">
        <f t="shared" si="245"/>
        <v>-14</v>
      </c>
      <c r="Z300" s="1">
        <f t="shared" ref="Z300:AC300" si="246">Z312-Z298-Z297</f>
        <v>-3</v>
      </c>
      <c r="AA300" s="1">
        <f t="shared" si="246"/>
        <v>-4</v>
      </c>
      <c r="AB300" s="1">
        <f t="shared" si="246"/>
        <v>-3</v>
      </c>
      <c r="AC300" s="1">
        <f t="shared" si="246"/>
        <v>-3</v>
      </c>
      <c r="AD300" s="1">
        <f>AD312-AD298-AD297</f>
        <v>-6</v>
      </c>
      <c r="AE300" s="1">
        <f t="shared" ref="AE300" si="247">AE312-AE298-AE297</f>
        <v>-8</v>
      </c>
    </row>
    <row r="301" spans="3:31" s="35" customFormat="1">
      <c r="C301" s="35" t="s">
        <v>208</v>
      </c>
      <c r="F301" s="35">
        <f t="shared" ref="F301:I301" si="248">F312-F297</f>
        <v>34</v>
      </c>
      <c r="G301" s="35">
        <f t="shared" si="248"/>
        <v>30</v>
      </c>
      <c r="H301" s="35">
        <f t="shared" si="248"/>
        <v>97</v>
      </c>
      <c r="I301" s="35">
        <f t="shared" si="248"/>
        <v>193</v>
      </c>
      <c r="J301" s="35">
        <f>J312-J297</f>
        <v>302</v>
      </c>
      <c r="K301" s="35">
        <f>K312-K297</f>
        <v>530</v>
      </c>
      <c r="L301" s="35">
        <f t="shared" ref="L301:U301" si="249">L298+L300</f>
        <v>400</v>
      </c>
      <c r="M301" s="35">
        <f t="shared" si="249"/>
        <v>400</v>
      </c>
      <c r="N301" s="35">
        <f t="shared" si="249"/>
        <v>300</v>
      </c>
      <c r="O301" s="35">
        <f t="shared" si="249"/>
        <v>300</v>
      </c>
      <c r="P301" s="35">
        <f t="shared" si="249"/>
        <v>300</v>
      </c>
      <c r="Q301" s="35">
        <f t="shared" si="249"/>
        <v>300</v>
      </c>
      <c r="R301" s="35">
        <f t="shared" si="249"/>
        <v>200</v>
      </c>
      <c r="S301" s="35">
        <f t="shared" si="249"/>
        <v>200</v>
      </c>
      <c r="T301" s="35">
        <f t="shared" si="249"/>
        <v>200</v>
      </c>
      <c r="U301" s="35">
        <f t="shared" si="249"/>
        <v>200</v>
      </c>
      <c r="Z301" s="35">
        <f t="shared" ref="Z301:AE301" si="250">Z312-Z297</f>
        <v>68</v>
      </c>
      <c r="AA301" s="35">
        <f t="shared" si="250"/>
        <v>125</v>
      </c>
      <c r="AB301" s="35">
        <f t="shared" si="250"/>
        <v>127</v>
      </c>
      <c r="AC301" s="35">
        <f t="shared" si="250"/>
        <v>175</v>
      </c>
      <c r="AD301" s="35">
        <f t="shared" si="250"/>
        <v>167</v>
      </c>
      <c r="AE301" s="35">
        <f t="shared" si="250"/>
        <v>363</v>
      </c>
    </row>
    <row r="302" spans="3:31" s="36" customFormat="1" outlineLevel="1">
      <c r="D302" s="36" t="s">
        <v>199</v>
      </c>
      <c r="G302" s="36">
        <f t="shared" ref="G302:K305" si="251">G280-F280</f>
        <v>5</v>
      </c>
      <c r="H302" s="36">
        <f t="shared" si="251"/>
        <v>10</v>
      </c>
      <c r="I302" s="36">
        <f t="shared" si="251"/>
        <v>41</v>
      </c>
      <c r="J302" s="36">
        <f t="shared" si="251"/>
        <v>84</v>
      </c>
      <c r="K302" s="36">
        <f t="shared" si="251"/>
        <v>65</v>
      </c>
      <c r="L302" s="36">
        <f t="shared" ref="L302:U305" si="252">L$301*L308</f>
        <v>45.056603773584911</v>
      </c>
      <c r="M302" s="36">
        <f t="shared" si="252"/>
        <v>41.056603773584911</v>
      </c>
      <c r="N302" s="36">
        <f t="shared" si="252"/>
        <v>27.792452830188683</v>
      </c>
      <c r="O302" s="36">
        <f t="shared" si="252"/>
        <v>24.792452830188687</v>
      </c>
      <c r="P302" s="36">
        <f t="shared" si="252"/>
        <v>21.792452830188687</v>
      </c>
      <c r="Q302" s="36">
        <f t="shared" si="252"/>
        <v>21.792452830188687</v>
      </c>
      <c r="R302" s="36">
        <f t="shared" si="252"/>
        <v>14.528301886792457</v>
      </c>
      <c r="S302" s="36">
        <f t="shared" si="252"/>
        <v>14.528301886792457</v>
      </c>
      <c r="T302" s="36">
        <f t="shared" si="252"/>
        <v>14.528301886792457</v>
      </c>
      <c r="U302" s="36">
        <f t="shared" si="252"/>
        <v>14.528301886792457</v>
      </c>
      <c r="Z302" s="36">
        <f t="shared" ref="Z302:AE305" si="253">Z280-Y280</f>
        <v>13</v>
      </c>
      <c r="AA302" s="36">
        <f t="shared" si="253"/>
        <v>28</v>
      </c>
      <c r="AB302" s="36">
        <f t="shared" si="253"/>
        <v>40</v>
      </c>
      <c r="AC302" s="36">
        <f t="shared" si="253"/>
        <v>44</v>
      </c>
      <c r="AD302" s="36">
        <f t="shared" si="253"/>
        <v>22</v>
      </c>
      <c r="AE302" s="36">
        <f t="shared" si="253"/>
        <v>43</v>
      </c>
    </row>
    <row r="303" spans="3:31" s="36" customFormat="1" outlineLevel="1">
      <c r="D303" s="36" t="s">
        <v>200</v>
      </c>
      <c r="G303" s="36">
        <f t="shared" si="251"/>
        <v>12</v>
      </c>
      <c r="H303" s="36">
        <f t="shared" si="251"/>
        <v>37</v>
      </c>
      <c r="I303" s="36">
        <f t="shared" si="251"/>
        <v>87</v>
      </c>
      <c r="J303" s="36">
        <f t="shared" si="251"/>
        <v>125</v>
      </c>
      <c r="K303" s="36">
        <f t="shared" si="251"/>
        <v>167</v>
      </c>
      <c r="L303" s="36">
        <f t="shared" si="252"/>
        <v>140</v>
      </c>
      <c r="M303" s="36">
        <f t="shared" si="252"/>
        <v>140</v>
      </c>
      <c r="N303" s="36">
        <f t="shared" si="252"/>
        <v>105</v>
      </c>
      <c r="O303" s="36">
        <f t="shared" si="252"/>
        <v>105</v>
      </c>
      <c r="P303" s="36">
        <f t="shared" si="252"/>
        <v>105</v>
      </c>
      <c r="Q303" s="36">
        <f t="shared" si="252"/>
        <v>105</v>
      </c>
      <c r="R303" s="36">
        <f t="shared" si="252"/>
        <v>70</v>
      </c>
      <c r="S303" s="36">
        <f t="shared" si="252"/>
        <v>70</v>
      </c>
      <c r="T303" s="36">
        <f t="shared" si="252"/>
        <v>70</v>
      </c>
      <c r="U303" s="36">
        <f t="shared" si="252"/>
        <v>70</v>
      </c>
      <c r="Z303" s="36">
        <f t="shared" si="253"/>
        <v>33</v>
      </c>
      <c r="AA303" s="36">
        <f t="shared" si="253"/>
        <v>54</v>
      </c>
      <c r="AB303" s="36">
        <f t="shared" si="253"/>
        <v>50</v>
      </c>
      <c r="AC303" s="36">
        <f t="shared" si="253"/>
        <v>75</v>
      </c>
      <c r="AD303" s="36">
        <f t="shared" si="253"/>
        <v>57</v>
      </c>
      <c r="AE303" s="36">
        <f t="shared" si="253"/>
        <v>110</v>
      </c>
    </row>
    <row r="304" spans="3:31" s="36" customFormat="1" outlineLevel="1">
      <c r="D304" s="36" t="s">
        <v>203</v>
      </c>
      <c r="G304" s="36">
        <f t="shared" si="251"/>
        <v>11</v>
      </c>
      <c r="H304" s="36">
        <f t="shared" si="251"/>
        <v>40</v>
      </c>
      <c r="I304" s="36">
        <f t="shared" si="251"/>
        <v>48</v>
      </c>
      <c r="J304" s="36">
        <f t="shared" si="251"/>
        <v>77</v>
      </c>
      <c r="K304" s="36">
        <f t="shared" si="251"/>
        <v>257</v>
      </c>
      <c r="L304" s="36">
        <f t="shared" si="252"/>
        <v>197.96226415094341</v>
      </c>
      <c r="M304" s="36">
        <f t="shared" si="252"/>
        <v>201.96226415094341</v>
      </c>
      <c r="N304" s="36">
        <f t="shared" si="252"/>
        <v>154.47169811320757</v>
      </c>
      <c r="O304" s="36">
        <f t="shared" si="252"/>
        <v>157.47169811320757</v>
      </c>
      <c r="P304" s="36">
        <f t="shared" si="252"/>
        <v>160.47169811320757</v>
      </c>
      <c r="Q304" s="36">
        <f t="shared" si="252"/>
        <v>160.47169811320757</v>
      </c>
      <c r="R304" s="36">
        <f t="shared" si="252"/>
        <v>106.98113207547171</v>
      </c>
      <c r="S304" s="36">
        <f t="shared" si="252"/>
        <v>106.98113207547171</v>
      </c>
      <c r="T304" s="36">
        <f t="shared" si="252"/>
        <v>106.98113207547171</v>
      </c>
      <c r="U304" s="36">
        <f t="shared" si="252"/>
        <v>106.98113207547171</v>
      </c>
      <c r="Z304" s="36">
        <f t="shared" si="253"/>
        <v>16</v>
      </c>
      <c r="AA304" s="36">
        <f t="shared" si="253"/>
        <v>32</v>
      </c>
      <c r="AB304" s="36">
        <f t="shared" si="253"/>
        <v>30</v>
      </c>
      <c r="AC304" s="36">
        <f t="shared" si="253"/>
        <v>47</v>
      </c>
      <c r="AD304" s="36">
        <f t="shared" si="253"/>
        <v>73</v>
      </c>
      <c r="AE304" s="36">
        <f t="shared" si="253"/>
        <v>184</v>
      </c>
    </row>
    <row r="305" spans="2:31" s="36" customFormat="1" outlineLevel="1">
      <c r="D305" s="36" t="s">
        <v>204</v>
      </c>
      <c r="G305" s="36">
        <f t="shared" si="251"/>
        <v>2</v>
      </c>
      <c r="H305" s="36">
        <f t="shared" si="251"/>
        <v>10</v>
      </c>
      <c r="I305" s="36">
        <f t="shared" si="251"/>
        <v>17</v>
      </c>
      <c r="J305" s="36">
        <f t="shared" si="251"/>
        <v>16</v>
      </c>
      <c r="K305" s="36">
        <f t="shared" si="251"/>
        <v>41</v>
      </c>
      <c r="L305" s="36">
        <f t="shared" si="252"/>
        <v>16.981132075471717</v>
      </c>
      <c r="M305" s="36">
        <f t="shared" si="252"/>
        <v>16.98113207547167</v>
      </c>
      <c r="N305" s="36">
        <f t="shared" si="252"/>
        <v>12.735849056603755</v>
      </c>
      <c r="O305" s="36">
        <f t="shared" si="252"/>
        <v>12.735849056603755</v>
      </c>
      <c r="P305" s="36">
        <f t="shared" si="252"/>
        <v>12.735849056603755</v>
      </c>
      <c r="Q305" s="36">
        <f t="shared" si="252"/>
        <v>12.735849056603755</v>
      </c>
      <c r="R305" s="36">
        <f t="shared" si="252"/>
        <v>8.4905660377358352</v>
      </c>
      <c r="S305" s="36">
        <f t="shared" si="252"/>
        <v>8.4905660377358352</v>
      </c>
      <c r="T305" s="36">
        <f t="shared" si="252"/>
        <v>8.4905660377358352</v>
      </c>
      <c r="U305" s="36">
        <f t="shared" si="252"/>
        <v>8.4905660377358352</v>
      </c>
      <c r="Z305" s="36">
        <f t="shared" si="253"/>
        <v>6</v>
      </c>
      <c r="AA305" s="36">
        <f t="shared" si="253"/>
        <v>11</v>
      </c>
      <c r="AB305" s="36">
        <f t="shared" si="253"/>
        <v>7</v>
      </c>
      <c r="AC305" s="36">
        <f t="shared" si="253"/>
        <v>9</v>
      </c>
      <c r="AD305" s="36">
        <f t="shared" si="253"/>
        <v>15</v>
      </c>
      <c r="AE305" s="36">
        <f t="shared" si="253"/>
        <v>26</v>
      </c>
    </row>
    <row r="306" spans="2:31" s="36" customFormat="1" outlineLevel="1"/>
    <row r="307" spans="2:31" s="36" customFormat="1" ht="19" outlineLevel="1">
      <c r="D307" s="37" t="s">
        <v>36</v>
      </c>
    </row>
    <row r="308" spans="2:31" s="36" customFormat="1" outlineLevel="1">
      <c r="D308" s="36" t="s">
        <v>199</v>
      </c>
      <c r="G308" s="38">
        <f t="shared" ref="G308:K311" si="254">G302/G$301</f>
        <v>0.16666666666666666</v>
      </c>
      <c r="H308" s="38">
        <f t="shared" si="254"/>
        <v>0.10309278350515463</v>
      </c>
      <c r="I308" s="38">
        <f t="shared" si="254"/>
        <v>0.21243523316062177</v>
      </c>
      <c r="J308" s="38">
        <f>J302/J$301</f>
        <v>0.27814569536423839</v>
      </c>
      <c r="K308" s="38">
        <f>K302/K$301</f>
        <v>0.12264150943396226</v>
      </c>
      <c r="L308" s="39">
        <f>K308-1%</f>
        <v>0.11264150943396227</v>
      </c>
      <c r="M308" s="39">
        <f t="shared" ref="M308:P308" si="255">L308-1%</f>
        <v>0.10264150943396227</v>
      </c>
      <c r="N308" s="39">
        <f t="shared" si="255"/>
        <v>9.264150943396228E-2</v>
      </c>
      <c r="O308" s="39">
        <f t="shared" si="255"/>
        <v>8.2641509433962285E-2</v>
      </c>
      <c r="P308" s="39">
        <f t="shared" si="255"/>
        <v>7.264150943396229E-2</v>
      </c>
      <c r="Q308" s="39">
        <f>P308</f>
        <v>7.264150943396229E-2</v>
      </c>
      <c r="R308" s="39">
        <f t="shared" ref="R308:U308" si="256">Q308</f>
        <v>7.264150943396229E-2</v>
      </c>
      <c r="S308" s="39">
        <f t="shared" si="256"/>
        <v>7.264150943396229E-2</v>
      </c>
      <c r="T308" s="39">
        <f t="shared" si="256"/>
        <v>7.264150943396229E-2</v>
      </c>
      <c r="U308" s="39">
        <f t="shared" si="256"/>
        <v>7.264150943396229E-2</v>
      </c>
      <c r="Z308" s="38">
        <f t="shared" ref="Z308:AE311" si="257">Z302/Z$301</f>
        <v>0.19117647058823528</v>
      </c>
      <c r="AA308" s="38">
        <f t="shared" si="257"/>
        <v>0.224</v>
      </c>
      <c r="AB308" s="38">
        <f t="shared" si="257"/>
        <v>0.31496062992125984</v>
      </c>
      <c r="AC308" s="38">
        <f t="shared" si="257"/>
        <v>0.25142857142857145</v>
      </c>
      <c r="AD308" s="38">
        <f>AD302/AD$301</f>
        <v>0.1317365269461078</v>
      </c>
      <c r="AE308" s="38">
        <f>AE302/AE$301</f>
        <v>0.1184573002754821</v>
      </c>
    </row>
    <row r="309" spans="2:31" s="36" customFormat="1" outlineLevel="1">
      <c r="D309" s="36" t="s">
        <v>200</v>
      </c>
      <c r="G309" s="38">
        <f t="shared" si="254"/>
        <v>0.4</v>
      </c>
      <c r="H309" s="38">
        <f t="shared" si="254"/>
        <v>0.38144329896907214</v>
      </c>
      <c r="I309" s="38">
        <f t="shared" si="254"/>
        <v>0.45077720207253885</v>
      </c>
      <c r="J309" s="38">
        <f t="shared" si="254"/>
        <v>0.41390728476821192</v>
      </c>
      <c r="K309" s="38">
        <f t="shared" si="254"/>
        <v>0.31509433962264149</v>
      </c>
      <c r="L309" s="39">
        <v>0.35</v>
      </c>
      <c r="M309" s="39">
        <v>0.35</v>
      </c>
      <c r="N309" s="39">
        <v>0.35</v>
      </c>
      <c r="O309" s="39">
        <v>0.35</v>
      </c>
      <c r="P309" s="39">
        <v>0.35</v>
      </c>
      <c r="Q309" s="39">
        <v>0.35</v>
      </c>
      <c r="R309" s="39">
        <v>0.35</v>
      </c>
      <c r="S309" s="39">
        <v>0.35</v>
      </c>
      <c r="T309" s="39">
        <v>0.35</v>
      </c>
      <c r="U309" s="39">
        <v>0.35</v>
      </c>
      <c r="Z309" s="38">
        <f t="shared" si="257"/>
        <v>0.48529411764705882</v>
      </c>
      <c r="AA309" s="38">
        <f t="shared" si="257"/>
        <v>0.432</v>
      </c>
      <c r="AB309" s="38">
        <f t="shared" si="257"/>
        <v>0.39370078740157483</v>
      </c>
      <c r="AC309" s="38">
        <f t="shared" si="257"/>
        <v>0.42857142857142855</v>
      </c>
      <c r="AD309" s="38">
        <f t="shared" si="257"/>
        <v>0.3413173652694611</v>
      </c>
      <c r="AE309" s="38">
        <f t="shared" si="257"/>
        <v>0.30303030303030304</v>
      </c>
    </row>
    <row r="310" spans="2:31" s="36" customFormat="1" outlineLevel="1">
      <c r="D310" s="36" t="s">
        <v>203</v>
      </c>
      <c r="G310" s="38">
        <f t="shared" si="254"/>
        <v>0.36666666666666664</v>
      </c>
      <c r="H310" s="38">
        <f t="shared" si="254"/>
        <v>0.41237113402061853</v>
      </c>
      <c r="I310" s="38">
        <f t="shared" si="254"/>
        <v>0.24870466321243523</v>
      </c>
      <c r="J310" s="38">
        <f t="shared" si="254"/>
        <v>0.25496688741721857</v>
      </c>
      <c r="K310" s="38">
        <f t="shared" si="254"/>
        <v>0.48490566037735849</v>
      </c>
      <c r="L310" s="39">
        <f>K310+1%</f>
        <v>0.4949056603773585</v>
      </c>
      <c r="M310" s="39">
        <f t="shared" ref="M310:P310" si="258">L310+1%</f>
        <v>0.50490566037735851</v>
      </c>
      <c r="N310" s="39">
        <f t="shared" si="258"/>
        <v>0.51490566037735852</v>
      </c>
      <c r="O310" s="39">
        <f t="shared" si="258"/>
        <v>0.52490566037735853</v>
      </c>
      <c r="P310" s="39">
        <f t="shared" si="258"/>
        <v>0.53490566037735854</v>
      </c>
      <c r="Q310" s="39">
        <f>P310</f>
        <v>0.53490566037735854</v>
      </c>
      <c r="R310" s="39">
        <f t="shared" ref="R310:U310" si="259">Q310</f>
        <v>0.53490566037735854</v>
      </c>
      <c r="S310" s="39">
        <f t="shared" si="259"/>
        <v>0.53490566037735854</v>
      </c>
      <c r="T310" s="39">
        <f t="shared" si="259"/>
        <v>0.53490566037735854</v>
      </c>
      <c r="U310" s="39">
        <f t="shared" si="259"/>
        <v>0.53490566037735854</v>
      </c>
      <c r="Z310" s="38">
        <f t="shared" si="257"/>
        <v>0.23529411764705882</v>
      </c>
      <c r="AA310" s="38">
        <f t="shared" si="257"/>
        <v>0.25600000000000001</v>
      </c>
      <c r="AB310" s="38">
        <f t="shared" si="257"/>
        <v>0.23622047244094488</v>
      </c>
      <c r="AC310" s="38">
        <f t="shared" si="257"/>
        <v>0.26857142857142857</v>
      </c>
      <c r="AD310" s="38">
        <f t="shared" si="257"/>
        <v>0.43712574850299402</v>
      </c>
      <c r="AE310" s="38">
        <f t="shared" si="257"/>
        <v>0.50688705234159781</v>
      </c>
    </row>
    <row r="311" spans="2:31" s="36" customFormat="1" outlineLevel="1">
      <c r="D311" s="36" t="s">
        <v>204</v>
      </c>
      <c r="G311" s="38">
        <f t="shared" si="254"/>
        <v>6.6666666666666666E-2</v>
      </c>
      <c r="H311" s="38">
        <f t="shared" si="254"/>
        <v>0.10309278350515463</v>
      </c>
      <c r="I311" s="38">
        <f t="shared" si="254"/>
        <v>8.8082901554404139E-2</v>
      </c>
      <c r="J311" s="38">
        <f t="shared" si="254"/>
        <v>5.2980132450331126E-2</v>
      </c>
      <c r="K311" s="38">
        <f t="shared" si="254"/>
        <v>7.7358490566037733E-2</v>
      </c>
      <c r="L311" s="38">
        <f t="shared" ref="L311:U311" si="260">1-L308-L309-L310</f>
        <v>4.2452830188679291E-2</v>
      </c>
      <c r="M311" s="38">
        <f t="shared" si="260"/>
        <v>4.245283018867918E-2</v>
      </c>
      <c r="N311" s="38">
        <f t="shared" si="260"/>
        <v>4.245283018867918E-2</v>
      </c>
      <c r="O311" s="38">
        <f t="shared" si="260"/>
        <v>4.245283018867918E-2</v>
      </c>
      <c r="P311" s="38">
        <f t="shared" si="260"/>
        <v>4.245283018867918E-2</v>
      </c>
      <c r="Q311" s="38">
        <f t="shared" si="260"/>
        <v>4.245283018867918E-2</v>
      </c>
      <c r="R311" s="38">
        <f t="shared" si="260"/>
        <v>4.245283018867918E-2</v>
      </c>
      <c r="S311" s="38">
        <f t="shared" si="260"/>
        <v>4.245283018867918E-2</v>
      </c>
      <c r="T311" s="38">
        <f t="shared" si="260"/>
        <v>4.245283018867918E-2</v>
      </c>
      <c r="U311" s="38">
        <f t="shared" si="260"/>
        <v>4.245283018867918E-2</v>
      </c>
      <c r="Z311" s="38">
        <f t="shared" si="257"/>
        <v>8.8235294117647065E-2</v>
      </c>
      <c r="AA311" s="38">
        <f t="shared" si="257"/>
        <v>8.7999999999999995E-2</v>
      </c>
      <c r="AB311" s="38">
        <f t="shared" si="257"/>
        <v>5.5118110236220472E-2</v>
      </c>
      <c r="AC311" s="38">
        <f t="shared" si="257"/>
        <v>5.1428571428571428E-2</v>
      </c>
      <c r="AD311" s="38">
        <f t="shared" si="257"/>
        <v>8.9820359281437126E-2</v>
      </c>
      <c r="AE311" s="38">
        <f t="shared" si="257"/>
        <v>7.1625344352617082E-2</v>
      </c>
    </row>
    <row r="312" spans="2:31">
      <c r="C312" s="1" t="s">
        <v>191</v>
      </c>
      <c r="F312" s="1">
        <f t="shared" ref="F312:I312" si="261">F279</f>
        <v>146</v>
      </c>
      <c r="G312" s="1">
        <f t="shared" si="261"/>
        <v>176</v>
      </c>
      <c r="H312" s="1">
        <f t="shared" si="261"/>
        <v>273</v>
      </c>
      <c r="I312" s="1">
        <f t="shared" si="261"/>
        <v>466</v>
      </c>
      <c r="J312" s="1">
        <f>J279</f>
        <v>768</v>
      </c>
      <c r="K312" s="1">
        <f>K279</f>
        <v>1298</v>
      </c>
      <c r="L312" s="1">
        <f t="shared" ref="L312:U312" si="262">L297+L298+L300</f>
        <v>1698</v>
      </c>
      <c r="M312" s="1">
        <f t="shared" si="262"/>
        <v>2098</v>
      </c>
      <c r="N312" s="1">
        <f t="shared" si="262"/>
        <v>2398</v>
      </c>
      <c r="O312" s="1">
        <f t="shared" si="262"/>
        <v>2698</v>
      </c>
      <c r="P312" s="1">
        <f t="shared" si="262"/>
        <v>2998</v>
      </c>
      <c r="Q312" s="1">
        <f t="shared" si="262"/>
        <v>3298</v>
      </c>
      <c r="R312" s="1">
        <f t="shared" si="262"/>
        <v>3498</v>
      </c>
      <c r="S312" s="1">
        <f t="shared" si="262"/>
        <v>3698</v>
      </c>
      <c r="T312" s="1">
        <f t="shared" si="262"/>
        <v>3898</v>
      </c>
      <c r="U312" s="1">
        <f t="shared" si="262"/>
        <v>4098</v>
      </c>
      <c r="Y312" s="1">
        <f t="shared" ref="Y312:AE312" si="263">Y279</f>
        <v>273</v>
      </c>
      <c r="Z312" s="1">
        <f t="shared" si="263"/>
        <v>341</v>
      </c>
      <c r="AA312" s="1">
        <f t="shared" si="263"/>
        <v>466</v>
      </c>
      <c r="AB312" s="1">
        <f t="shared" si="263"/>
        <v>593</v>
      </c>
      <c r="AC312" s="1">
        <f t="shared" si="263"/>
        <v>768</v>
      </c>
      <c r="AD312" s="1">
        <f t="shared" si="263"/>
        <v>935</v>
      </c>
      <c r="AE312" s="1">
        <f t="shared" si="263"/>
        <v>1298</v>
      </c>
    </row>
    <row r="314" spans="2:31">
      <c r="B314" s="1" t="s">
        <v>209</v>
      </c>
      <c r="F314" s="1">
        <f>F391/F326</f>
        <v>91.738767001225966</v>
      </c>
      <c r="G314" s="1">
        <f>G391/G326</f>
        <v>94.497551919038372</v>
      </c>
      <c r="H314" s="1">
        <f>H391/H326</f>
        <v>97.693416171532036</v>
      </c>
      <c r="I314" s="1">
        <f>I391/I326</f>
        <v>101.06122802510454</v>
      </c>
      <c r="J314" s="1">
        <f>J391/J326</f>
        <v>105.17560806628039</v>
      </c>
      <c r="K314" s="1">
        <f t="shared" ref="K314:U314" si="264">K391/K326</f>
        <v>110.06473229703191</v>
      </c>
      <c r="L314" s="1">
        <f t="shared" si="264"/>
        <v>113.19063165076835</v>
      </c>
      <c r="M314" s="1">
        <f t="shared" si="264"/>
        <v>118.28706834891398</v>
      </c>
      <c r="N314" s="1">
        <f t="shared" si="264"/>
        <v>122.53167235174162</v>
      </c>
      <c r="O314" s="1">
        <f t="shared" si="264"/>
        <v>127.08354391742438</v>
      </c>
      <c r="P314" s="1">
        <f t="shared" si="264"/>
        <v>131.8486150986167</v>
      </c>
      <c r="Q314" s="1">
        <f t="shared" si="264"/>
        <v>136.79480851458038</v>
      </c>
      <c r="R314" s="1">
        <f t="shared" si="264"/>
        <v>141.99574154659226</v>
      </c>
      <c r="S314" s="1">
        <f t="shared" si="264"/>
        <v>147.45292723052214</v>
      </c>
      <c r="T314" s="1">
        <f t="shared" si="264"/>
        <v>153.12375570427852</v>
      </c>
      <c r="U314" s="1">
        <f t="shared" si="264"/>
        <v>159.02470776439523</v>
      </c>
      <c r="X314" s="1">
        <f>X391/X326</f>
        <v>96.97145936616802</v>
      </c>
      <c r="Y314" s="1">
        <f t="shared" ref="Y314:AD314" si="265">Y391/Y326</f>
        <v>98.289900616970556</v>
      </c>
      <c r="Z314" s="1">
        <f t="shared" si="265"/>
        <v>100.2459681132198</v>
      </c>
      <c r="AA314" s="1">
        <f t="shared" si="265"/>
        <v>101.71561649304977</v>
      </c>
      <c r="AB314" s="1">
        <f t="shared" si="265"/>
        <v>104.4256909400615</v>
      </c>
      <c r="AC314" s="1">
        <f t="shared" si="265"/>
        <v>105.78037320504474</v>
      </c>
      <c r="AD314" s="1">
        <f t="shared" si="265"/>
        <v>112.82333771189123</v>
      </c>
    </row>
    <row r="315" spans="2:31">
      <c r="C315" s="1" t="s">
        <v>199</v>
      </c>
      <c r="F315" s="2">
        <v>93.2</v>
      </c>
      <c r="G315" s="2">
        <v>95.3</v>
      </c>
      <c r="H315" s="2">
        <v>98.3</v>
      </c>
      <c r="I315" s="2">
        <v>106.1</v>
      </c>
      <c r="J315" s="2">
        <v>110.1</v>
      </c>
      <c r="K315" s="2">
        <v>116.2</v>
      </c>
      <c r="L315" s="1">
        <f>K315*(1+L321)</f>
        <v>120.84800000000001</v>
      </c>
      <c r="M315" s="1">
        <f t="shared" ref="M315:U315" si="266">L315*(1+M321)</f>
        <v>125.68192000000002</v>
      </c>
      <c r="N315" s="1">
        <f t="shared" si="266"/>
        <v>130.70919680000003</v>
      </c>
      <c r="O315" s="1">
        <f t="shared" si="266"/>
        <v>135.93756467200004</v>
      </c>
      <c r="P315" s="1">
        <f t="shared" si="266"/>
        <v>141.37506725888005</v>
      </c>
      <c r="Q315" s="1">
        <f t="shared" si="266"/>
        <v>147.03006994923527</v>
      </c>
      <c r="R315" s="1">
        <f t="shared" si="266"/>
        <v>152.91127274720469</v>
      </c>
      <c r="S315" s="1">
        <f t="shared" si="266"/>
        <v>159.02772365709288</v>
      </c>
      <c r="T315" s="1">
        <f t="shared" si="266"/>
        <v>165.38883260337658</v>
      </c>
      <c r="U315" s="1">
        <f t="shared" si="266"/>
        <v>172.00438590751165</v>
      </c>
      <c r="X315" s="2">
        <v>101.2</v>
      </c>
      <c r="Y315" s="1">
        <f>Y393/Y327</f>
        <v>95.74447110410118</v>
      </c>
      <c r="Z315" s="2">
        <v>106</v>
      </c>
      <c r="AA315" s="1">
        <f>AA393/AA327</f>
        <v>106.18066949304115</v>
      </c>
      <c r="AB315" s="2">
        <v>110</v>
      </c>
      <c r="AC315" s="1">
        <f>AC393/AC327</f>
        <v>110.17933861440036</v>
      </c>
      <c r="AD315" s="2">
        <v>118.1</v>
      </c>
    </row>
    <row r="316" spans="2:31">
      <c r="C316" s="1" t="s">
        <v>200</v>
      </c>
      <c r="F316" s="2">
        <v>86.1</v>
      </c>
      <c r="G316" s="2">
        <v>88.5</v>
      </c>
      <c r="H316" s="2">
        <v>92.6</v>
      </c>
      <c r="I316" s="2">
        <v>94.8</v>
      </c>
      <c r="J316" s="2">
        <v>99.4</v>
      </c>
      <c r="K316" s="2">
        <v>105.7</v>
      </c>
      <c r="L316" s="1">
        <f t="shared" ref="L316:U318" si="267">K316*(1+L322)</f>
        <v>109.92800000000001</v>
      </c>
      <c r="M316" s="1">
        <f t="shared" si="267"/>
        <v>114.32512000000001</v>
      </c>
      <c r="N316" s="1">
        <f t="shared" si="267"/>
        <v>118.89812480000002</v>
      </c>
      <c r="O316" s="1">
        <f t="shared" si="267"/>
        <v>123.65404979200002</v>
      </c>
      <c r="P316" s="1">
        <f t="shared" si="267"/>
        <v>128.60021178368004</v>
      </c>
      <c r="Q316" s="1">
        <f t="shared" si="267"/>
        <v>133.74422025502724</v>
      </c>
      <c r="R316" s="1">
        <f t="shared" si="267"/>
        <v>139.09398906522833</v>
      </c>
      <c r="S316" s="1">
        <f t="shared" si="267"/>
        <v>144.65774862783746</v>
      </c>
      <c r="T316" s="1">
        <f t="shared" si="267"/>
        <v>150.44405857295098</v>
      </c>
      <c r="U316" s="1">
        <f t="shared" si="267"/>
        <v>156.46182091586903</v>
      </c>
      <c r="X316" s="2">
        <v>90.7</v>
      </c>
      <c r="Y316" s="1">
        <f>Y394/Y328</f>
        <v>94.196676152591934</v>
      </c>
      <c r="Z316" s="2">
        <v>94.2</v>
      </c>
      <c r="AA316" s="1">
        <f>AA394/AA328</f>
        <v>95.312375500136298</v>
      </c>
      <c r="AB316" s="2">
        <v>98.4</v>
      </c>
      <c r="AC316" s="1">
        <f>AC394/AC328</f>
        <v>100.23652640516673</v>
      </c>
      <c r="AD316" s="2">
        <v>107.4</v>
      </c>
    </row>
    <row r="317" spans="2:31">
      <c r="C317" s="1" t="s">
        <v>203</v>
      </c>
      <c r="F317" s="2">
        <v>89.8</v>
      </c>
      <c r="G317" s="2">
        <v>92.8</v>
      </c>
      <c r="H317" s="2">
        <v>94.5</v>
      </c>
      <c r="I317" s="2">
        <v>92.1</v>
      </c>
      <c r="J317" s="2">
        <v>94.9</v>
      </c>
      <c r="K317" s="2">
        <v>100.2</v>
      </c>
      <c r="L317" s="1">
        <f t="shared" si="267"/>
        <v>104.20800000000001</v>
      </c>
      <c r="M317" s="1">
        <f t="shared" si="267"/>
        <v>108.37632000000002</v>
      </c>
      <c r="N317" s="1">
        <f t="shared" si="267"/>
        <v>112.71137280000002</v>
      </c>
      <c r="O317" s="1">
        <f t="shared" si="267"/>
        <v>117.21982771200003</v>
      </c>
      <c r="P317" s="1">
        <f t="shared" si="267"/>
        <v>121.90862082048002</v>
      </c>
      <c r="Q317" s="1">
        <f t="shared" si="267"/>
        <v>126.78496565329922</v>
      </c>
      <c r="R317" s="1">
        <f t="shared" si="267"/>
        <v>131.8563642794312</v>
      </c>
      <c r="S317" s="1">
        <f t="shared" si="267"/>
        <v>137.13061885060847</v>
      </c>
      <c r="T317" s="1">
        <f t="shared" si="267"/>
        <v>142.6158436046328</v>
      </c>
      <c r="U317" s="1">
        <f t="shared" si="267"/>
        <v>148.32047734881812</v>
      </c>
      <c r="X317" s="2">
        <v>90.5</v>
      </c>
      <c r="Y317" s="1">
        <f>Y395/Y329</f>
        <v>97.613010491557219</v>
      </c>
      <c r="Z317" s="2">
        <v>91.8</v>
      </c>
      <c r="AA317" s="1">
        <f>AA395/AA329</f>
        <v>92.313825674965514</v>
      </c>
      <c r="AB317" s="2">
        <v>94.8</v>
      </c>
      <c r="AC317" s="1">
        <f>AC395/AC329</f>
        <v>94.978128196473776</v>
      </c>
      <c r="AD317" s="2">
        <v>101.8</v>
      </c>
    </row>
    <row r="318" spans="2:31">
      <c r="C318" s="1" t="s">
        <v>204</v>
      </c>
      <c r="F318" s="2">
        <v>215.2</v>
      </c>
      <c r="G318" s="2">
        <v>215.4</v>
      </c>
      <c r="H318" s="2">
        <v>179.6</v>
      </c>
      <c r="I318" s="2">
        <v>199.3</v>
      </c>
      <c r="J318" s="2">
        <v>185.3</v>
      </c>
      <c r="K318" s="2">
        <v>192.6</v>
      </c>
      <c r="L318" s="1">
        <f t="shared" si="267"/>
        <v>200.304</v>
      </c>
      <c r="M318" s="1">
        <f t="shared" si="267"/>
        <v>208.31616</v>
      </c>
      <c r="N318" s="1">
        <f t="shared" si="267"/>
        <v>215.60722559999999</v>
      </c>
      <c r="O318" s="1">
        <f t="shared" si="267"/>
        <v>223.15347849599996</v>
      </c>
      <c r="P318" s="1">
        <f t="shared" si="267"/>
        <v>230.96385024335996</v>
      </c>
      <c r="Q318" s="1">
        <f t="shared" si="267"/>
        <v>239.04758500187754</v>
      </c>
      <c r="R318" s="1">
        <f t="shared" si="267"/>
        <v>247.41425047694324</v>
      </c>
      <c r="S318" s="1">
        <f t="shared" si="267"/>
        <v>256.07374924363626</v>
      </c>
      <c r="T318" s="1">
        <f t="shared" si="267"/>
        <v>265.03633046716351</v>
      </c>
      <c r="U318" s="1">
        <f t="shared" si="267"/>
        <v>274.31260203351422</v>
      </c>
      <c r="X318" s="2">
        <v>211.5</v>
      </c>
      <c r="Y318" s="1">
        <f>Y396/Y330</f>
        <v>163.94627654057339</v>
      </c>
      <c r="Z318" s="2">
        <v>196.1</v>
      </c>
      <c r="AA318" s="1">
        <f>AA396/AA330</f>
        <v>201.51511649567243</v>
      </c>
      <c r="AB318" s="2">
        <v>185.5</v>
      </c>
      <c r="AC318" s="1">
        <f>AC396/AC330</f>
        <v>185.15414232366354</v>
      </c>
      <c r="AD318" s="2">
        <v>191.3</v>
      </c>
    </row>
    <row r="320" spans="2:31" s="23" customFormat="1" ht="19">
      <c r="C320" s="34" t="s">
        <v>30</v>
      </c>
      <c r="G320" s="8">
        <f t="shared" ref="G320:U321" si="268">G314/F314-1</f>
        <v>3.0072182219056165E-2</v>
      </c>
      <c r="H320" s="8">
        <f t="shared" si="268"/>
        <v>3.3819545454804478E-2</v>
      </c>
      <c r="I320" s="8">
        <f t="shared" si="268"/>
        <v>3.447327348712248E-2</v>
      </c>
      <c r="J320" s="8">
        <f t="shared" si="268"/>
        <v>4.0711755849174969E-2</v>
      </c>
      <c r="K320" s="8">
        <f t="shared" si="268"/>
        <v>4.6485343138405799E-2</v>
      </c>
      <c r="L320" s="8">
        <f t="shared" si="268"/>
        <v>2.8400553824094787E-2</v>
      </c>
      <c r="M320" s="8">
        <f t="shared" si="268"/>
        <v>4.5025251858915816E-2</v>
      </c>
      <c r="N320" s="8">
        <f t="shared" si="268"/>
        <v>3.5883922579831307E-2</v>
      </c>
      <c r="O320" s="8">
        <f t="shared" si="268"/>
        <v>3.7148530484559794E-2</v>
      </c>
      <c r="P320" s="8">
        <f t="shared" si="268"/>
        <v>3.7495579949269775E-2</v>
      </c>
      <c r="Q320" s="8">
        <f t="shared" si="268"/>
        <v>3.7514185585219462E-2</v>
      </c>
      <c r="R320" s="8">
        <f t="shared" si="268"/>
        <v>3.8019959152598481E-2</v>
      </c>
      <c r="S320" s="8">
        <f t="shared" si="268"/>
        <v>3.8432037640644623E-2</v>
      </c>
      <c r="T320" s="8">
        <f t="shared" si="268"/>
        <v>3.8458568305604679E-2</v>
      </c>
      <c r="U320" s="8">
        <f t="shared" si="268"/>
        <v>3.8537142933673607E-2</v>
      </c>
      <c r="Z320" s="8">
        <f>Z314/X314-1</f>
        <v>3.3767757734645576E-2</v>
      </c>
      <c r="AA320" s="8">
        <f t="shared" ref="AA320:AD324" si="269">AA314/Y314-1</f>
        <v>3.485318282525296E-2</v>
      </c>
      <c r="AB320" s="8">
        <f t="shared" si="269"/>
        <v>4.1694672668740607E-2</v>
      </c>
      <c r="AC320" s="8">
        <f t="shared" si="269"/>
        <v>3.9961972921559452E-2</v>
      </c>
      <c r="AD320" s="8">
        <f t="shared" si="269"/>
        <v>8.041744034664644E-2</v>
      </c>
      <c r="AE320" s="8"/>
    </row>
    <row r="321" spans="2:31" s="23" customFormat="1">
      <c r="C321" s="23" t="s">
        <v>199</v>
      </c>
      <c r="G321" s="8">
        <f>G315/F315-1</f>
        <v>2.2532188841201561E-2</v>
      </c>
      <c r="H321" s="8">
        <f t="shared" si="268"/>
        <v>3.147953830010497E-2</v>
      </c>
      <c r="I321" s="8">
        <f t="shared" si="268"/>
        <v>7.9348931841302095E-2</v>
      </c>
      <c r="J321" s="8">
        <f t="shared" si="268"/>
        <v>3.7700282752120673E-2</v>
      </c>
      <c r="K321" s="8">
        <f t="shared" si="268"/>
        <v>5.5404178019981876E-2</v>
      </c>
      <c r="L321" s="9">
        <v>0.04</v>
      </c>
      <c r="M321" s="9">
        <v>0.04</v>
      </c>
      <c r="N321" s="9">
        <v>0.04</v>
      </c>
      <c r="O321" s="9">
        <v>0.04</v>
      </c>
      <c r="P321" s="9">
        <v>0.04</v>
      </c>
      <c r="Q321" s="9">
        <v>0.04</v>
      </c>
      <c r="R321" s="9">
        <v>0.04</v>
      </c>
      <c r="S321" s="9">
        <v>0.04</v>
      </c>
      <c r="T321" s="9">
        <v>0.04</v>
      </c>
      <c r="U321" s="9">
        <v>0.04</v>
      </c>
      <c r="Z321" s="8">
        <f t="shared" ref="Z321:Z324" si="270">Z315/X315-1</f>
        <v>4.743083003952564E-2</v>
      </c>
      <c r="AA321" s="8">
        <f t="shared" si="269"/>
        <v>0.10900053307091628</v>
      </c>
      <c r="AB321" s="8">
        <f t="shared" si="269"/>
        <v>3.7735849056603765E-2</v>
      </c>
      <c r="AC321" s="8">
        <f t="shared" si="269"/>
        <v>3.7659106318041147E-2</v>
      </c>
      <c r="AD321" s="8">
        <f t="shared" si="269"/>
        <v>7.36363636363635E-2</v>
      </c>
      <c r="AE321" s="8"/>
    </row>
    <row r="322" spans="2:31" s="23" customFormat="1">
      <c r="C322" s="23" t="s">
        <v>200</v>
      </c>
      <c r="G322" s="8">
        <f t="shared" ref="G322:K324" si="271">G316/F316-1</f>
        <v>2.7874564459930307E-2</v>
      </c>
      <c r="H322" s="8">
        <f t="shared" si="271"/>
        <v>4.6327683615819071E-2</v>
      </c>
      <c r="I322" s="8">
        <f t="shared" si="271"/>
        <v>2.3758099352051865E-2</v>
      </c>
      <c r="J322" s="8">
        <f t="shared" si="271"/>
        <v>4.8523206751055037E-2</v>
      </c>
      <c r="K322" s="8">
        <f t="shared" si="271"/>
        <v>6.3380281690140761E-2</v>
      </c>
      <c r="L322" s="9">
        <v>0.04</v>
      </c>
      <c r="M322" s="9">
        <v>0.04</v>
      </c>
      <c r="N322" s="9">
        <v>0.04</v>
      </c>
      <c r="O322" s="9">
        <v>0.04</v>
      </c>
      <c r="P322" s="9">
        <v>0.04</v>
      </c>
      <c r="Q322" s="9">
        <v>0.04</v>
      </c>
      <c r="R322" s="9">
        <v>0.04</v>
      </c>
      <c r="S322" s="9">
        <v>0.04</v>
      </c>
      <c r="T322" s="9">
        <v>0.04</v>
      </c>
      <c r="U322" s="9">
        <v>0.04</v>
      </c>
      <c r="Z322" s="8">
        <f t="shared" si="270"/>
        <v>3.8588754134509351E-2</v>
      </c>
      <c r="AA322" s="8">
        <f t="shared" si="269"/>
        <v>1.1844360046600944E-2</v>
      </c>
      <c r="AB322" s="8">
        <f t="shared" si="269"/>
        <v>4.4585987261146487E-2</v>
      </c>
      <c r="AC322" s="8">
        <f t="shared" si="269"/>
        <v>5.1663290094195569E-2</v>
      </c>
      <c r="AD322" s="8">
        <f t="shared" si="269"/>
        <v>9.1463414634146423E-2</v>
      </c>
      <c r="AE322" s="8"/>
    </row>
    <row r="323" spans="2:31" s="23" customFormat="1">
      <c r="C323" s="23" t="s">
        <v>203</v>
      </c>
      <c r="G323" s="8">
        <f t="shared" si="271"/>
        <v>3.3407572383073569E-2</v>
      </c>
      <c r="H323" s="8">
        <f t="shared" si="271"/>
        <v>1.8318965517241326E-2</v>
      </c>
      <c r="I323" s="8">
        <f t="shared" si="271"/>
        <v>-2.5396825396825418E-2</v>
      </c>
      <c r="J323" s="8">
        <f t="shared" si="271"/>
        <v>3.0401737242128357E-2</v>
      </c>
      <c r="K323" s="8">
        <f t="shared" si="271"/>
        <v>5.5848261327713367E-2</v>
      </c>
      <c r="L323" s="9">
        <v>0.04</v>
      </c>
      <c r="M323" s="9">
        <v>0.04</v>
      </c>
      <c r="N323" s="9">
        <v>0.04</v>
      </c>
      <c r="O323" s="9">
        <v>0.04</v>
      </c>
      <c r="P323" s="9">
        <v>0.04</v>
      </c>
      <c r="Q323" s="9">
        <v>0.04</v>
      </c>
      <c r="R323" s="9">
        <v>0.04</v>
      </c>
      <c r="S323" s="9">
        <v>0.04</v>
      </c>
      <c r="T323" s="9">
        <v>0.04</v>
      </c>
      <c r="U323" s="9">
        <v>0.04</v>
      </c>
      <c r="Z323" s="8">
        <f t="shared" si="270"/>
        <v>1.436464088397793E-2</v>
      </c>
      <c r="AA323" s="8">
        <f t="shared" si="269"/>
        <v>-5.4287689621559609E-2</v>
      </c>
      <c r="AB323" s="8">
        <f t="shared" si="269"/>
        <v>3.2679738562091609E-2</v>
      </c>
      <c r="AC323" s="8">
        <f t="shared" si="269"/>
        <v>2.8861359628721273E-2</v>
      </c>
      <c r="AD323" s="8">
        <f t="shared" si="269"/>
        <v>7.3839662447257481E-2</v>
      </c>
      <c r="AE323" s="8"/>
    </row>
    <row r="324" spans="2:31" s="23" customFormat="1">
      <c r="C324" s="23" t="s">
        <v>204</v>
      </c>
      <c r="G324" s="8">
        <f t="shared" si="271"/>
        <v>9.2936802973975219E-4</v>
      </c>
      <c r="H324" s="8">
        <f t="shared" si="271"/>
        <v>-0.16620241411327763</v>
      </c>
      <c r="I324" s="8">
        <f t="shared" si="271"/>
        <v>0.10968819599109136</v>
      </c>
      <c r="J324" s="8">
        <f t="shared" si="271"/>
        <v>-7.0245860511791269E-2</v>
      </c>
      <c r="K324" s="8">
        <f t="shared" si="271"/>
        <v>3.9395574743658734E-2</v>
      </c>
      <c r="L324" s="9">
        <v>0.04</v>
      </c>
      <c r="M324" s="9">
        <v>0.04</v>
      </c>
      <c r="N324" s="9">
        <v>3.5000000000000003E-2</v>
      </c>
      <c r="O324" s="9">
        <v>3.5000000000000003E-2</v>
      </c>
      <c r="P324" s="9">
        <v>3.5000000000000003E-2</v>
      </c>
      <c r="Q324" s="9">
        <v>3.5000000000000003E-2</v>
      </c>
      <c r="R324" s="9">
        <v>3.5000000000000003E-2</v>
      </c>
      <c r="S324" s="9">
        <v>3.5000000000000003E-2</v>
      </c>
      <c r="T324" s="9">
        <v>3.5000000000000003E-2</v>
      </c>
      <c r="U324" s="9">
        <v>3.5000000000000003E-2</v>
      </c>
      <c r="Z324" s="8">
        <f t="shared" si="270"/>
        <v>-7.2813238770685573E-2</v>
      </c>
      <c r="AA324" s="8">
        <f t="shared" si="269"/>
        <v>0.22915335894073507</v>
      </c>
      <c r="AB324" s="8">
        <f t="shared" si="269"/>
        <v>-5.4054054054054057E-2</v>
      </c>
      <c r="AC324" s="8">
        <f t="shared" si="269"/>
        <v>-8.1189810752287928E-2</v>
      </c>
      <c r="AD324" s="8">
        <f t="shared" si="269"/>
        <v>3.126684636118604E-2</v>
      </c>
      <c r="AE324" s="8"/>
    </row>
    <row r="326" spans="2:31" s="6" customFormat="1">
      <c r="B326" s="6" t="s">
        <v>210</v>
      </c>
      <c r="F326" s="6">
        <f t="shared" ref="F326:I326" si="272">F327+F328+F329+F330</f>
        <v>63.044350704241651</v>
      </c>
      <c r="G326" s="6">
        <f t="shared" si="272"/>
        <v>81.090502816043539</v>
      </c>
      <c r="H326" s="6">
        <f t="shared" si="272"/>
        <v>106.57789857321066</v>
      </c>
      <c r="I326" s="6">
        <f t="shared" si="272"/>
        <v>163.58104213708322</v>
      </c>
      <c r="J326" s="6">
        <f>J327+J328+J329+J330</f>
        <v>244.13820344940081</v>
      </c>
      <c r="K326" s="6">
        <f>K327+K328+K329+K330</f>
        <v>250.50156780096498</v>
      </c>
      <c r="L326" s="6">
        <f t="shared" ref="L326:U326" si="273">L327+L328+L329+L330</f>
        <v>550.57654838722669</v>
      </c>
      <c r="M326" s="6">
        <f t="shared" si="273"/>
        <v>695.02717593081979</v>
      </c>
      <c r="N326" s="6">
        <f t="shared" si="273"/>
        <v>787.57653799741684</v>
      </c>
      <c r="O326" s="6">
        <f t="shared" si="273"/>
        <v>859.53670602492548</v>
      </c>
      <c r="P326" s="6">
        <f t="shared" si="273"/>
        <v>926.42956123858232</v>
      </c>
      <c r="Q326" s="6">
        <f t="shared" si="273"/>
        <v>998.02242697222243</v>
      </c>
      <c r="R326" s="6">
        <f t="shared" si="273"/>
        <v>1054.1822491805212</v>
      </c>
      <c r="S326" s="6">
        <f t="shared" si="273"/>
        <v>1095.9337205587681</v>
      </c>
      <c r="T326" s="6">
        <f t="shared" si="273"/>
        <v>1133.9867925364497</v>
      </c>
      <c r="U326" s="6">
        <f t="shared" si="273"/>
        <v>1174.1842906073039</v>
      </c>
      <c r="X326" s="6">
        <f t="shared" ref="X326:AA326" si="274">X327+X328+X329+X330</f>
        <v>48.217589284123903</v>
      </c>
      <c r="Y326" s="6">
        <f t="shared" si="274"/>
        <v>58.360309289086743</v>
      </c>
      <c r="Z326" s="6">
        <f t="shared" si="274"/>
        <v>72.83752291915971</v>
      </c>
      <c r="AA326" s="6">
        <f t="shared" si="274"/>
        <v>90.74351921792352</v>
      </c>
      <c r="AB326" s="6">
        <f>AB327+AB328+AB329+AB330</f>
        <v>108.98959726809635</v>
      </c>
      <c r="AC326" s="6">
        <f>AC327+AC328+AC329+AC330</f>
        <v>135.14860618130444</v>
      </c>
      <c r="AD326" s="6">
        <f>AD327+AD328+AD329+AD330</f>
        <v>81.243084860747899</v>
      </c>
      <c r="AE326" s="6">
        <f>AE327+AE328+AE329+AE330</f>
        <v>169.25848294021708</v>
      </c>
    </row>
    <row r="327" spans="2:31">
      <c r="C327" s="1" t="s">
        <v>199</v>
      </c>
      <c r="F327" s="1">
        <f t="shared" ref="F327:K330" si="275">F393/F315</f>
        <v>24.858336909871245</v>
      </c>
      <c r="G327" s="1">
        <f t="shared" si="275"/>
        <v>28.475897166841555</v>
      </c>
      <c r="H327" s="1">
        <f t="shared" si="275"/>
        <v>30.103997965412006</v>
      </c>
      <c r="I327" s="1">
        <f t="shared" si="275"/>
        <v>38.03628652214892</v>
      </c>
      <c r="J327" s="1">
        <f t="shared" si="275"/>
        <v>58.870345140781112</v>
      </c>
      <c r="K327" s="1">
        <f t="shared" si="275"/>
        <v>51.037753872633395</v>
      </c>
      <c r="L327" s="1">
        <f t="shared" ref="L327:U330" si="276">L349*L355/1000000</f>
        <v>97.263556145471796</v>
      </c>
      <c r="M327" s="1">
        <f t="shared" si="276"/>
        <v>111.47946749485696</v>
      </c>
      <c r="N327" s="1">
        <f t="shared" si="276"/>
        <v>113.57416084971592</v>
      </c>
      <c r="O327" s="1">
        <f t="shared" si="276"/>
        <v>113.75742854537539</v>
      </c>
      <c r="P327" s="1">
        <f t="shared" si="276"/>
        <v>113.15408766143484</v>
      </c>
      <c r="Q327" s="1">
        <f t="shared" si="276"/>
        <v>113.28640462219732</v>
      </c>
      <c r="R327" s="1">
        <f t="shared" si="276"/>
        <v>112.20585128828955</v>
      </c>
      <c r="S327" s="1">
        <f t="shared" si="276"/>
        <v>110.380808474148</v>
      </c>
      <c r="T327" s="1">
        <f t="shared" si="276"/>
        <v>107.88474018724115</v>
      </c>
      <c r="U327" s="1">
        <f t="shared" si="276"/>
        <v>105.63450889267</v>
      </c>
      <c r="X327" s="1">
        <f>X393/X315</f>
        <v>14.101590909090907</v>
      </c>
      <c r="Y327" s="1">
        <f>H327-X327</f>
        <v>16.002407056321097</v>
      </c>
      <c r="Z327" s="1">
        <f>Z393/Z315</f>
        <v>16.983320754716981</v>
      </c>
      <c r="AA327" s="1">
        <f>I327-Z327</f>
        <v>21.052965767431939</v>
      </c>
      <c r="AB327" s="1">
        <f>AB393/AB315</f>
        <v>26.04398181818182</v>
      </c>
      <c r="AC327" s="1">
        <f>J327-AB327</f>
        <v>32.826363322599292</v>
      </c>
      <c r="AD327" s="1">
        <f>AD393/AD315</f>
        <v>17.098247248094836</v>
      </c>
      <c r="AE327" s="1">
        <f>K327-AD327</f>
        <v>33.939506624538559</v>
      </c>
    </row>
    <row r="328" spans="2:31">
      <c r="C328" s="1" t="s">
        <v>200</v>
      </c>
      <c r="F328" s="1">
        <f t="shared" si="275"/>
        <v>33.444401858304303</v>
      </c>
      <c r="G328" s="1">
        <f t="shared" si="275"/>
        <v>42.670734463276837</v>
      </c>
      <c r="H328" s="1">
        <f t="shared" si="275"/>
        <v>56.490075593952483</v>
      </c>
      <c r="I328" s="1">
        <f t="shared" si="275"/>
        <v>82.224103375527434</v>
      </c>
      <c r="J328" s="1">
        <f t="shared" si="275"/>
        <v>112.09983903420523</v>
      </c>
      <c r="K328" s="1">
        <f t="shared" si="275"/>
        <v>106.64079470198676</v>
      </c>
      <c r="L328" s="1">
        <f t="shared" si="276"/>
        <v>214.8559281200769</v>
      </c>
      <c r="M328" s="1">
        <f t="shared" si="276"/>
        <v>256.78364487581888</v>
      </c>
      <c r="N328" s="1">
        <f t="shared" si="276"/>
        <v>277.05832532736804</v>
      </c>
      <c r="O328" s="1">
        <f t="shared" si="276"/>
        <v>287.86759616936769</v>
      </c>
      <c r="P328" s="1">
        <f t="shared" si="276"/>
        <v>296.91969203947696</v>
      </c>
      <c r="Q328" s="1">
        <f t="shared" si="276"/>
        <v>303.97420743027561</v>
      </c>
      <c r="R328" s="1">
        <f t="shared" si="276"/>
        <v>307.54288848741606</v>
      </c>
      <c r="S328" s="1">
        <f t="shared" si="276"/>
        <v>306.32623650273007</v>
      </c>
      <c r="T328" s="1">
        <f t="shared" si="276"/>
        <v>305.79383176828748</v>
      </c>
      <c r="U328" s="1">
        <f t="shared" si="276"/>
        <v>305.3042055456599</v>
      </c>
      <c r="X328" s="1">
        <f>X394/X316</f>
        <v>25.794884233737594</v>
      </c>
      <c r="Y328" s="1">
        <f t="shared" ref="Y328:Y330" si="277">H328-X328</f>
        <v>30.695191360214888</v>
      </c>
      <c r="Z328" s="1">
        <f>Z394/Z316</f>
        <v>37.873556263269634</v>
      </c>
      <c r="AA328" s="1">
        <f t="shared" ref="AA328:AA330" si="278">I328-Z328</f>
        <v>44.3505471122578</v>
      </c>
      <c r="AB328" s="1">
        <f>AB394/AB316</f>
        <v>51.060782520325205</v>
      </c>
      <c r="AC328" s="1">
        <f t="shared" ref="AC328:AC330" si="279">J328-AB328</f>
        <v>61.039056513880027</v>
      </c>
      <c r="AD328" s="1">
        <f>AD394/AD316</f>
        <v>35.394674115456233</v>
      </c>
      <c r="AE328" s="1">
        <f t="shared" ref="AE328:AE330" si="280">K328-AD328</f>
        <v>71.246120586530537</v>
      </c>
    </row>
    <row r="329" spans="2:31">
      <c r="C329" s="1" t="s">
        <v>203</v>
      </c>
      <c r="F329" s="1">
        <f t="shared" si="275"/>
        <v>3.454097995545657</v>
      </c>
      <c r="G329" s="1">
        <f t="shared" si="275"/>
        <v>7.9051293103448277</v>
      </c>
      <c r="H329" s="1">
        <f t="shared" si="275"/>
        <v>16.067449735449735</v>
      </c>
      <c r="I329" s="1">
        <f t="shared" si="275"/>
        <v>36.684701411509231</v>
      </c>
      <c r="J329" s="1">
        <f t="shared" si="275"/>
        <v>60.896006322444677</v>
      </c>
      <c r="K329" s="1">
        <f t="shared" si="275"/>
        <v>81.264550898203581</v>
      </c>
      <c r="L329" s="1">
        <f t="shared" si="276"/>
        <v>216.62280622742225</v>
      </c>
      <c r="M329" s="1">
        <f t="shared" si="276"/>
        <v>292.42874926515969</v>
      </c>
      <c r="N329" s="1">
        <f t="shared" si="276"/>
        <v>358.30246901009139</v>
      </c>
      <c r="O329" s="1">
        <f t="shared" si="276"/>
        <v>415.46303128304214</v>
      </c>
      <c r="P329" s="1">
        <f t="shared" si="276"/>
        <v>470.33202412984531</v>
      </c>
      <c r="Q329" s="1">
        <f t="shared" si="276"/>
        <v>531.04697021313234</v>
      </c>
      <c r="R329" s="1">
        <f t="shared" si="276"/>
        <v>581.6427586158718</v>
      </c>
      <c r="S329" s="1">
        <f t="shared" si="276"/>
        <v>623.82382602118139</v>
      </c>
      <c r="T329" s="1">
        <f t="shared" si="276"/>
        <v>662.59602006025466</v>
      </c>
      <c r="U329" s="1">
        <f t="shared" si="276"/>
        <v>703.07265078244632</v>
      </c>
      <c r="X329" s="1">
        <f>X395/X317</f>
        <v>7.0319226519337015</v>
      </c>
      <c r="Y329" s="1">
        <f t="shared" si="277"/>
        <v>9.0355270835160333</v>
      </c>
      <c r="Z329" s="1">
        <f>Z395/Z317</f>
        <v>15.266132897603487</v>
      </c>
      <c r="AA329" s="1">
        <f t="shared" si="278"/>
        <v>21.418568513905743</v>
      </c>
      <c r="AB329" s="1">
        <f>AB395/AB317</f>
        <v>26.70938818565401</v>
      </c>
      <c r="AC329" s="1">
        <f t="shared" si="279"/>
        <v>34.186618136790671</v>
      </c>
      <c r="AD329" s="1">
        <f>AD395/AD317</f>
        <v>24.072416502946957</v>
      </c>
      <c r="AE329" s="1">
        <f t="shared" si="280"/>
        <v>57.192134395256623</v>
      </c>
    </row>
    <row r="330" spans="2:31">
      <c r="C330" s="1" t="s">
        <v>204</v>
      </c>
      <c r="F330" s="1">
        <f t="shared" si="275"/>
        <v>1.2875139405204461</v>
      </c>
      <c r="G330" s="1">
        <f t="shared" si="275"/>
        <v>2.0387418755803157</v>
      </c>
      <c r="H330" s="1">
        <f t="shared" si="275"/>
        <v>3.9163752783964365</v>
      </c>
      <c r="I330" s="1">
        <f t="shared" si="275"/>
        <v>6.6359508278976413</v>
      </c>
      <c r="J330" s="1">
        <f t="shared" si="275"/>
        <v>12.272012951969778</v>
      </c>
      <c r="K330" s="1">
        <f t="shared" si="275"/>
        <v>11.558468328141226</v>
      </c>
      <c r="L330" s="1">
        <f t="shared" si="276"/>
        <v>21.834257894255785</v>
      </c>
      <c r="M330" s="1">
        <f t="shared" si="276"/>
        <v>34.335314294984251</v>
      </c>
      <c r="N330" s="1">
        <f t="shared" si="276"/>
        <v>38.641582810241466</v>
      </c>
      <c r="O330" s="1">
        <f t="shared" si="276"/>
        <v>42.448650027140296</v>
      </c>
      <c r="P330" s="1">
        <f t="shared" si="276"/>
        <v>46.023757407825251</v>
      </c>
      <c r="Q330" s="1">
        <f t="shared" si="276"/>
        <v>49.71484470661715</v>
      </c>
      <c r="R330" s="1">
        <f t="shared" si="276"/>
        <v>52.79075078894374</v>
      </c>
      <c r="S330" s="1">
        <f t="shared" si="276"/>
        <v>55.402849560708582</v>
      </c>
      <c r="T330" s="1">
        <f t="shared" si="276"/>
        <v>57.712200520666272</v>
      </c>
      <c r="U330" s="1">
        <f t="shared" si="276"/>
        <v>60.172925386527545</v>
      </c>
      <c r="X330" s="1">
        <f>X396/X318</f>
        <v>1.289191489361702</v>
      </c>
      <c r="Y330" s="1">
        <f t="shared" si="277"/>
        <v>2.6271837890347345</v>
      </c>
      <c r="Z330" s="1">
        <f>Z396/Z318</f>
        <v>2.7145130035696075</v>
      </c>
      <c r="AA330" s="1">
        <f t="shared" si="278"/>
        <v>3.9214378243280339</v>
      </c>
      <c r="AB330" s="1">
        <f>AB396/AB318</f>
        <v>5.1754447439353095</v>
      </c>
      <c r="AC330" s="1">
        <f t="shared" si="279"/>
        <v>7.0965682080344683</v>
      </c>
      <c r="AD330" s="1">
        <f>AD396/AD318</f>
        <v>4.6777469942498691</v>
      </c>
      <c r="AE330" s="1">
        <f t="shared" si="280"/>
        <v>6.8807213338913567</v>
      </c>
    </row>
    <row r="332" spans="2:31" s="23" customFormat="1" ht="19">
      <c r="C332" s="34" t="s">
        <v>30</v>
      </c>
      <c r="G332" s="8">
        <f t="shared" ref="G332:U336" si="281">G326/F326-1</f>
        <v>0.28624534807981994</v>
      </c>
      <c r="H332" s="8">
        <f t="shared" si="281"/>
        <v>0.31430802463990282</v>
      </c>
      <c r="I332" s="8">
        <f t="shared" si="281"/>
        <v>0.53484957319472626</v>
      </c>
      <c r="J332" s="8">
        <f t="shared" si="281"/>
        <v>0.49246025248335035</v>
      </c>
      <c r="K332" s="8">
        <f t="shared" si="281"/>
        <v>2.6064598910194858E-2</v>
      </c>
      <c r="L332" s="8">
        <f t="shared" si="281"/>
        <v>1.1978966168574448</v>
      </c>
      <c r="M332" s="8">
        <f t="shared" si="281"/>
        <v>0.26236247796373502</v>
      </c>
      <c r="N332" s="8">
        <f t="shared" si="281"/>
        <v>0.13315934293166265</v>
      </c>
      <c r="O332" s="8">
        <f t="shared" si="281"/>
        <v>9.136911088093469E-2</v>
      </c>
      <c r="P332" s="8">
        <f t="shared" si="281"/>
        <v>7.7824314825383434E-2</v>
      </c>
      <c r="Q332" s="8">
        <f t="shared" si="281"/>
        <v>7.7278261326122477E-2</v>
      </c>
      <c r="R332" s="8">
        <f t="shared" si="281"/>
        <v>5.6271102422693176E-2</v>
      </c>
      <c r="S332" s="8">
        <f t="shared" si="281"/>
        <v>3.9605553414224781E-2</v>
      </c>
      <c r="T332" s="8">
        <f t="shared" si="281"/>
        <v>3.4722055963639864E-2</v>
      </c>
      <c r="U332" s="8">
        <f t="shared" si="281"/>
        <v>3.544794201786261E-2</v>
      </c>
      <c r="Z332" s="8">
        <f>Z326/X326-1</f>
        <v>0.51060067499355788</v>
      </c>
      <c r="AA332" s="8">
        <f t="shared" ref="AA332:AE336" si="282">AA326/Y326-1</f>
        <v>0.55488413826642224</v>
      </c>
      <c r="AB332" s="8">
        <f t="shared" si="282"/>
        <v>0.49633860268780405</v>
      </c>
      <c r="AC332" s="8">
        <f t="shared" si="282"/>
        <v>0.48934719907369528</v>
      </c>
      <c r="AD332" s="8">
        <f t="shared" si="282"/>
        <v>-0.25457945623100731</v>
      </c>
      <c r="AE332" s="8">
        <f t="shared" si="282"/>
        <v>0.25238792853811298</v>
      </c>
    </row>
    <row r="333" spans="2:31" s="23" customFormat="1">
      <c r="C333" s="23" t="s">
        <v>199</v>
      </c>
      <c r="G333" s="8">
        <f>G327/F327-1</f>
        <v>0.1455270427014681</v>
      </c>
      <c r="H333" s="8">
        <f t="shared" si="281"/>
        <v>5.7174697219593673E-2</v>
      </c>
      <c r="I333" s="8">
        <f t="shared" si="281"/>
        <v>0.26349618299372457</v>
      </c>
      <c r="J333" s="8">
        <f t="shared" si="281"/>
        <v>0.54774165733819213</v>
      </c>
      <c r="K333" s="8">
        <f t="shared" si="281"/>
        <v>-0.13304816286395205</v>
      </c>
      <c r="L333" s="8">
        <f t="shared" si="281"/>
        <v>0.90571780231936927</v>
      </c>
      <c r="M333" s="8">
        <f t="shared" si="281"/>
        <v>0.14615866325227933</v>
      </c>
      <c r="N333" s="8">
        <f t="shared" si="281"/>
        <v>1.8789947619328284E-2</v>
      </c>
      <c r="O333" s="8">
        <f t="shared" si="281"/>
        <v>1.6136390028183012E-3</v>
      </c>
      <c r="P333" s="8">
        <f t="shared" si="281"/>
        <v>-5.3037493169062477E-3</v>
      </c>
      <c r="Q333" s="8">
        <f t="shared" si="281"/>
        <v>1.1693520180939831E-3</v>
      </c>
      <c r="R333" s="8">
        <f t="shared" si="281"/>
        <v>-9.5382436887404554E-3</v>
      </c>
      <c r="S333" s="8">
        <f t="shared" si="281"/>
        <v>-1.626513050065892E-2</v>
      </c>
      <c r="T333" s="8">
        <f t="shared" si="281"/>
        <v>-2.2613245195530984E-2</v>
      </c>
      <c r="U333" s="8">
        <f t="shared" si="281"/>
        <v>-2.0857734751603685E-2</v>
      </c>
      <c r="Z333" s="8">
        <f t="shared" ref="Z333:Z336" si="283">Z327/X327-1</f>
        <v>0.20435494577908253</v>
      </c>
      <c r="AA333" s="8">
        <f t="shared" si="282"/>
        <v>0.31561243838725028</v>
      </c>
      <c r="AB333" s="8">
        <f t="shared" si="282"/>
        <v>0.53350349995293533</v>
      </c>
      <c r="AC333" s="8">
        <f t="shared" si="282"/>
        <v>0.55922750671928179</v>
      </c>
      <c r="AD333" s="8">
        <f t="shared" si="282"/>
        <v>-0.34348567099066973</v>
      </c>
      <c r="AE333" s="8">
        <f t="shared" si="282"/>
        <v>3.3910040262453478E-2</v>
      </c>
    </row>
    <row r="334" spans="2:31" s="23" customFormat="1">
      <c r="C334" s="23" t="s">
        <v>200</v>
      </c>
      <c r="G334" s="8">
        <f t="shared" ref="G334:J336" si="284">G328/F328-1</f>
        <v>0.27587076139266098</v>
      </c>
      <c r="H334" s="8">
        <f t="shared" si="284"/>
        <v>0.32385993127371182</v>
      </c>
      <c r="I334" s="8">
        <f t="shared" si="284"/>
        <v>0.45554953699389089</v>
      </c>
      <c r="J334" s="8">
        <f t="shared" si="284"/>
        <v>0.36334522885864384</v>
      </c>
      <c r="K334" s="8">
        <f t="shared" si="281"/>
        <v>-4.8698056832648384E-2</v>
      </c>
      <c r="L334" s="8">
        <f t="shared" si="281"/>
        <v>1.0147630062257407</v>
      </c>
      <c r="M334" s="8">
        <f t="shared" si="281"/>
        <v>0.19514340201174152</v>
      </c>
      <c r="N334" s="8">
        <f t="shared" si="281"/>
        <v>7.8956276445698137E-2</v>
      </c>
      <c r="O334" s="8">
        <f t="shared" si="281"/>
        <v>3.9014423512549579E-2</v>
      </c>
      <c r="P334" s="8">
        <f t="shared" si="281"/>
        <v>3.1445344980000511E-2</v>
      </c>
      <c r="Q334" s="8">
        <f t="shared" si="281"/>
        <v>2.3759001440230243E-2</v>
      </c>
      <c r="R334" s="8">
        <f t="shared" si="281"/>
        <v>1.1740078499782092E-2</v>
      </c>
      <c r="S334" s="8">
        <f t="shared" si="281"/>
        <v>-3.9560400523966921E-3</v>
      </c>
      <c r="T334" s="8">
        <f t="shared" si="281"/>
        <v>-1.7380317811525048E-3</v>
      </c>
      <c r="U334" s="8">
        <f t="shared" si="281"/>
        <v>-1.601164483260642E-3</v>
      </c>
      <c r="Z334" s="8">
        <f t="shared" si="283"/>
        <v>0.46825843140377921</v>
      </c>
      <c r="AA334" s="8">
        <f t="shared" si="282"/>
        <v>0.44486954297806069</v>
      </c>
      <c r="AB334" s="8">
        <f t="shared" si="282"/>
        <v>0.34819086344539407</v>
      </c>
      <c r="AC334" s="8">
        <f t="shared" si="282"/>
        <v>0.37628643812174722</v>
      </c>
      <c r="AD334" s="8">
        <f t="shared" si="282"/>
        <v>-0.30681293218788674</v>
      </c>
      <c r="AE334" s="8">
        <f t="shared" si="282"/>
        <v>0.16722185196832884</v>
      </c>
    </row>
    <row r="335" spans="2:31" s="23" customFormat="1">
      <c r="C335" s="23" t="s">
        <v>203</v>
      </c>
      <c r="G335" s="8">
        <f t="shared" si="284"/>
        <v>1.2886233455272955</v>
      </c>
      <c r="H335" s="8">
        <f t="shared" si="284"/>
        <v>1.0325347131796456</v>
      </c>
      <c r="I335" s="8">
        <f t="shared" si="284"/>
        <v>1.2831688921093369</v>
      </c>
      <c r="J335" s="8">
        <f t="shared" si="284"/>
        <v>0.65998369836368753</v>
      </c>
      <c r="K335" s="8">
        <f t="shared" si="281"/>
        <v>0.33448079448605128</v>
      </c>
      <c r="L335" s="8">
        <f t="shared" si="281"/>
        <v>1.6656494601043916</v>
      </c>
      <c r="M335" s="8">
        <f t="shared" si="281"/>
        <v>0.34994442347936494</v>
      </c>
      <c r="N335" s="8">
        <f t="shared" si="281"/>
        <v>0.22526417088082096</v>
      </c>
      <c r="O335" s="8">
        <f t="shared" si="281"/>
        <v>0.15953158913716803</v>
      </c>
      <c r="P335" s="8">
        <f t="shared" si="281"/>
        <v>0.13206708832156622</v>
      </c>
      <c r="Q335" s="8">
        <f t="shared" si="281"/>
        <v>0.129089543063998</v>
      </c>
      <c r="R335" s="8">
        <f t="shared" si="281"/>
        <v>9.5275542919363909E-2</v>
      </c>
      <c r="S335" s="8">
        <f t="shared" si="281"/>
        <v>7.2520575182071223E-2</v>
      </c>
      <c r="T335" s="8">
        <f t="shared" si="281"/>
        <v>6.215247385847178E-2</v>
      </c>
      <c r="U335" s="8">
        <f t="shared" si="281"/>
        <v>6.1087947251042607E-2</v>
      </c>
      <c r="Z335" s="8">
        <f t="shared" si="283"/>
        <v>1.1709756567651479</v>
      </c>
      <c r="AA335" s="8">
        <f t="shared" si="282"/>
        <v>1.3704835717863895</v>
      </c>
      <c r="AB335" s="8">
        <f t="shared" si="282"/>
        <v>0.74958441439003276</v>
      </c>
      <c r="AC335" s="8">
        <f t="shared" si="282"/>
        <v>0.5961205864245982</v>
      </c>
      <c r="AD335" s="8">
        <f t="shared" si="282"/>
        <v>-9.8728269789549405E-2</v>
      </c>
      <c r="AE335" s="8">
        <f t="shared" si="282"/>
        <v>0.67293922336553291</v>
      </c>
    </row>
    <row r="336" spans="2:31" s="23" customFormat="1">
      <c r="C336" s="23" t="s">
        <v>204</v>
      </c>
      <c r="G336" s="8">
        <f t="shared" si="284"/>
        <v>0.58347169022201339</v>
      </c>
      <c r="H336" s="8">
        <f t="shared" si="284"/>
        <v>0.92097652248481121</v>
      </c>
      <c r="I336" s="8">
        <f t="shared" si="284"/>
        <v>0.69441137689305843</v>
      </c>
      <c r="J336" s="8">
        <f t="shared" si="284"/>
        <v>0.84932246640195741</v>
      </c>
      <c r="K336" s="8">
        <f t="shared" si="281"/>
        <v>-5.8144057264380655E-2</v>
      </c>
      <c r="L336" s="8">
        <f t="shared" si="281"/>
        <v>0.88902692592030141</v>
      </c>
      <c r="M336" s="8">
        <f t="shared" si="281"/>
        <v>0.57254322364751764</v>
      </c>
      <c r="N336" s="8">
        <f t="shared" si="281"/>
        <v>0.1254180602006687</v>
      </c>
      <c r="O336" s="8">
        <f t="shared" si="281"/>
        <v>9.8522548509317742E-2</v>
      </c>
      <c r="P336" s="8">
        <f t="shared" si="281"/>
        <v>8.4221933522011794E-2</v>
      </c>
      <c r="Q336" s="8">
        <f t="shared" si="281"/>
        <v>8.0199607913027826E-2</v>
      </c>
      <c r="R336" s="8">
        <f t="shared" si="281"/>
        <v>6.1870978386404873E-2</v>
      </c>
      <c r="S336" s="8">
        <f t="shared" si="281"/>
        <v>4.9480235320159771E-2</v>
      </c>
      <c r="T336" s="8">
        <f t="shared" si="281"/>
        <v>4.1682891372350372E-2</v>
      </c>
      <c r="U336" s="8">
        <f t="shared" si="281"/>
        <v>4.2637862421830652E-2</v>
      </c>
      <c r="Z336" s="8">
        <f t="shared" si="283"/>
        <v>1.1055933319212365</v>
      </c>
      <c r="AA336" s="8">
        <f t="shared" si="282"/>
        <v>0.49263931998028476</v>
      </c>
      <c r="AB336" s="8">
        <f t="shared" si="282"/>
        <v>0.90658314663792594</v>
      </c>
      <c r="AC336" s="8">
        <f t="shared" si="282"/>
        <v>0.8096852547319211</v>
      </c>
      <c r="AD336" s="8">
        <f t="shared" si="282"/>
        <v>-9.6165213679201722E-2</v>
      </c>
      <c r="AE336" s="8">
        <f t="shared" si="282"/>
        <v>-3.04156696329273E-2</v>
      </c>
    </row>
    <row r="338" spans="2:31" s="23" customFormat="1" ht="19">
      <c r="C338" s="34" t="s">
        <v>36</v>
      </c>
    </row>
    <row r="339" spans="2:31" s="23" customFormat="1">
      <c r="C339" s="23" t="s">
        <v>199</v>
      </c>
      <c r="G339" s="8">
        <f t="shared" ref="G339:J342" si="285">G327/G$326</f>
        <v>0.35116192621767384</v>
      </c>
      <c r="H339" s="8">
        <f t="shared" si="285"/>
        <v>0.28246004442218309</v>
      </c>
      <c r="I339" s="8">
        <f t="shared" si="285"/>
        <v>0.23252258345605828</v>
      </c>
      <c r="J339" s="8">
        <f>J327/J$326</f>
        <v>0.24113532543866026</v>
      </c>
      <c r="K339" s="8">
        <f t="shared" ref="K339:U342" si="286">K327/K$326</f>
        <v>0.20374225327477885</v>
      </c>
      <c r="L339" s="8">
        <f t="shared" si="286"/>
        <v>0.17665764448264376</v>
      </c>
      <c r="M339" s="8">
        <f t="shared" si="286"/>
        <v>0.16039583969584692</v>
      </c>
      <c r="N339" s="8">
        <f t="shared" si="286"/>
        <v>0.14420714098277065</v>
      </c>
      <c r="O339" s="8">
        <f t="shared" si="286"/>
        <v>0.13234737707882899</v>
      </c>
      <c r="P339" s="8">
        <f t="shared" si="286"/>
        <v>0.12213997954701966</v>
      </c>
      <c r="Q339" s="8">
        <f t="shared" si="286"/>
        <v>0.11351088067818578</v>
      </c>
      <c r="R339" s="8">
        <f t="shared" si="286"/>
        <v>0.10643875987810822</v>
      </c>
      <c r="S339" s="8">
        <f t="shared" si="286"/>
        <v>0.10071850733625544</v>
      </c>
      <c r="T339" s="8">
        <f t="shared" si="286"/>
        <v>9.5137563239100442E-2</v>
      </c>
      <c r="U339" s="8">
        <f t="shared" si="286"/>
        <v>8.9964164686647627E-2</v>
      </c>
    </row>
    <row r="340" spans="2:31" s="23" customFormat="1">
      <c r="C340" s="23" t="s">
        <v>200</v>
      </c>
      <c r="G340" s="8">
        <f t="shared" si="285"/>
        <v>0.52621124523147667</v>
      </c>
      <c r="H340" s="8">
        <f t="shared" si="285"/>
        <v>0.53003555474635511</v>
      </c>
      <c r="I340" s="8">
        <f t="shared" si="285"/>
        <v>0.50265056574601397</v>
      </c>
      <c r="J340" s="8">
        <f t="shared" si="285"/>
        <v>0.45916549499570081</v>
      </c>
      <c r="K340" s="8">
        <f t="shared" si="286"/>
        <v>0.42570909091761766</v>
      </c>
      <c r="L340" s="8">
        <f t="shared" si="286"/>
        <v>0.39023806725775451</v>
      </c>
      <c r="M340" s="8">
        <f t="shared" si="286"/>
        <v>0.36945842373993459</v>
      </c>
      <c r="N340" s="8">
        <f t="shared" si="286"/>
        <v>0.35178590519195579</v>
      </c>
      <c r="O340" s="8">
        <f t="shared" si="286"/>
        <v>0.33491018376709081</v>
      </c>
      <c r="P340" s="8">
        <f t="shared" si="286"/>
        <v>0.32049893965226306</v>
      </c>
      <c r="Q340" s="8">
        <f t="shared" si="286"/>
        <v>0.30457652976042393</v>
      </c>
      <c r="R340" s="8">
        <f t="shared" si="286"/>
        <v>0.29173597708222415</v>
      </c>
      <c r="S340" s="8">
        <f t="shared" si="286"/>
        <v>0.27951164450578991</v>
      </c>
      <c r="T340" s="8">
        <f t="shared" si="286"/>
        <v>0.26966260434506634</v>
      </c>
      <c r="U340" s="8">
        <f t="shared" si="286"/>
        <v>0.26001387345060839</v>
      </c>
    </row>
    <row r="341" spans="2:31" s="23" customFormat="1">
      <c r="C341" s="23" t="s">
        <v>203</v>
      </c>
      <c r="G341" s="8">
        <f t="shared" si="285"/>
        <v>9.7485266903300283E-2</v>
      </c>
      <c r="H341" s="8">
        <f t="shared" si="285"/>
        <v>0.15075780204478939</v>
      </c>
      <c r="I341" s="8">
        <f t="shared" si="285"/>
        <v>0.22426010332399604</v>
      </c>
      <c r="J341" s="8">
        <f t="shared" si="285"/>
        <v>0.24943251593585911</v>
      </c>
      <c r="K341" s="8">
        <f t="shared" si="286"/>
        <v>0.32440735445924235</v>
      </c>
      <c r="L341" s="8">
        <f t="shared" si="286"/>
        <v>0.39344720886126261</v>
      </c>
      <c r="M341" s="8">
        <f t="shared" si="286"/>
        <v>0.42074433833975272</v>
      </c>
      <c r="N341" s="8">
        <f t="shared" si="286"/>
        <v>0.45494304581641382</v>
      </c>
      <c r="O341" s="8">
        <f t="shared" si="286"/>
        <v>0.483356939117146</v>
      </c>
      <c r="P341" s="8">
        <f t="shared" si="286"/>
        <v>0.50768244430913756</v>
      </c>
      <c r="Q341" s="8">
        <f t="shared" si="286"/>
        <v>0.5320992353089804</v>
      </c>
      <c r="R341" s="8">
        <f t="shared" si="286"/>
        <v>0.55174782070938633</v>
      </c>
      <c r="S341" s="8">
        <f t="shared" si="286"/>
        <v>0.56921674579291281</v>
      </c>
      <c r="T341" s="8">
        <f t="shared" si="286"/>
        <v>0.58430664662168619</v>
      </c>
      <c r="U341" s="8">
        <f t="shared" si="286"/>
        <v>0.59877538509632733</v>
      </c>
    </row>
    <row r="342" spans="2:31" s="23" customFormat="1">
      <c r="C342" s="23" t="s">
        <v>204</v>
      </c>
      <c r="G342" s="8">
        <f t="shared" si="285"/>
        <v>2.5141561647549139E-2</v>
      </c>
      <c r="H342" s="8">
        <f t="shared" si="285"/>
        <v>3.6746598786672392E-2</v>
      </c>
      <c r="I342" s="8">
        <f t="shared" si="285"/>
        <v>4.0566747473931734E-2</v>
      </c>
      <c r="J342" s="8">
        <f t="shared" si="285"/>
        <v>5.0266663629779801E-2</v>
      </c>
      <c r="K342" s="8">
        <f t="shared" si="286"/>
        <v>4.6141301348361065E-2</v>
      </c>
      <c r="L342" s="8">
        <f t="shared" si="286"/>
        <v>3.9657079398339186E-2</v>
      </c>
      <c r="M342" s="8">
        <f t="shared" si="286"/>
        <v>4.9401398224465758E-2</v>
      </c>
      <c r="N342" s="8">
        <f t="shared" si="286"/>
        <v>4.9063908008859715E-2</v>
      </c>
      <c r="O342" s="8">
        <f t="shared" si="286"/>
        <v>4.9385500036934246E-2</v>
      </c>
      <c r="P342" s="8">
        <f t="shared" si="286"/>
        <v>4.9678636491579747E-2</v>
      </c>
      <c r="Q342" s="8">
        <f t="shared" si="286"/>
        <v>4.9813354252409847E-2</v>
      </c>
      <c r="R342" s="8">
        <f t="shared" si="286"/>
        <v>5.007744233028126E-2</v>
      </c>
      <c r="S342" s="8">
        <f t="shared" si="286"/>
        <v>5.055310236504186E-2</v>
      </c>
      <c r="T342" s="8">
        <f t="shared" si="286"/>
        <v>5.0893185794146922E-2</v>
      </c>
      <c r="U342" s="8">
        <f t="shared" si="286"/>
        <v>5.1246576766416543E-2</v>
      </c>
    </row>
    <row r="344" spans="2:31" ht="19">
      <c r="C344" s="40" t="s">
        <v>211</v>
      </c>
    </row>
    <row r="345" spans="2:31">
      <c r="C345" s="1" t="s">
        <v>199</v>
      </c>
      <c r="F345" s="41">
        <f t="shared" ref="F345:I345" si="287">F327/F273</f>
        <v>0.35141667304995577</v>
      </c>
      <c r="G345" s="41">
        <f t="shared" si="287"/>
        <v>0.39617041074991827</v>
      </c>
      <c r="H345" s="41">
        <f t="shared" si="287"/>
        <v>0.41285294191220162</v>
      </c>
      <c r="I345" s="41">
        <f t="shared" si="287"/>
        <v>0.51602053596147268</v>
      </c>
      <c r="J345" s="41">
        <f>J327/J273</f>
        <v>0.78952031109601606</v>
      </c>
      <c r="K345" s="41">
        <f>K327/K273</f>
        <v>0.67769909322862887</v>
      </c>
      <c r="L345" s="41">
        <f t="shared" ref="L345:U345" si="288">L327/L273</f>
        <v>1.2787160659222694</v>
      </c>
      <c r="M345" s="41">
        <f t="shared" si="288"/>
        <v>1.4511004918779025</v>
      </c>
      <c r="N345" s="41">
        <f t="shared" si="288"/>
        <v>1.4637293010996728</v>
      </c>
      <c r="O345" s="41">
        <f t="shared" si="288"/>
        <v>1.4515754770193021</v>
      </c>
      <c r="P345" s="41">
        <f t="shared" si="288"/>
        <v>1.4295808758164585</v>
      </c>
      <c r="Q345" s="41">
        <f t="shared" si="288"/>
        <v>1.4170817416818049</v>
      </c>
      <c r="R345" s="41">
        <f t="shared" si="288"/>
        <v>1.3896685848542367</v>
      </c>
      <c r="S345" s="41">
        <f t="shared" si="288"/>
        <v>1.3535301425434818</v>
      </c>
      <c r="T345" s="41">
        <f t="shared" si="288"/>
        <v>1.3098241916342614</v>
      </c>
      <c r="U345" s="41">
        <f t="shared" si="288"/>
        <v>1.2698061644296241</v>
      </c>
    </row>
    <row r="346" spans="2:31">
      <c r="C346" s="1" t="s">
        <v>200</v>
      </c>
      <c r="F346" s="41">
        <f t="shared" ref="F346:I346" si="289">F328/F275</f>
        <v>0.13580418614217971</v>
      </c>
      <c r="G346" s="41">
        <f t="shared" si="289"/>
        <v>0.17093879904752171</v>
      </c>
      <c r="H346" s="41">
        <f t="shared" si="289"/>
        <v>0.22292416442599364</v>
      </c>
      <c r="I346" s="41">
        <f t="shared" si="289"/>
        <v>0.32009071785394755</v>
      </c>
      <c r="J346" s="41">
        <f>J328/J275</f>
        <v>0.42848131644558463</v>
      </c>
      <c r="K346" s="41">
        <f>K328/K275</f>
        <v>0.40159124034048232</v>
      </c>
      <c r="L346" s="41">
        <f t="shared" ref="L346:U346" si="290">L328/L275</f>
        <v>0.79715386666237853</v>
      </c>
      <c r="M346" s="41">
        <f t="shared" si="290"/>
        <v>0.93863367894550664</v>
      </c>
      <c r="N346" s="41">
        <f t="shared" si="290"/>
        <v>0.99777802875031629</v>
      </c>
      <c r="O346" s="41">
        <f t="shared" si="290"/>
        <v>1.0213849885078798</v>
      </c>
      <c r="P346" s="41">
        <f t="shared" si="290"/>
        <v>1.0379337850531076</v>
      </c>
      <c r="Q346" s="41">
        <f t="shared" si="290"/>
        <v>1.0468906949232002</v>
      </c>
      <c r="R346" s="41">
        <f t="shared" si="290"/>
        <v>1.043528348632798</v>
      </c>
      <c r="S346" s="41">
        <f t="shared" si="290"/>
        <v>1.0240395159505373</v>
      </c>
      <c r="T346" s="41">
        <f t="shared" si="290"/>
        <v>1.0071524164794674</v>
      </c>
      <c r="U346" s="41">
        <f t="shared" si="290"/>
        <v>0.99067960571524183</v>
      </c>
    </row>
    <row r="348" spans="2:31">
      <c r="B348" s="1" t="s">
        <v>212</v>
      </c>
      <c r="F348" s="1">
        <f t="shared" ref="F348:U352" si="291">F326/F354*1000000</f>
        <v>1373.2409723367261</v>
      </c>
      <c r="G348" s="1">
        <f t="shared" si="291"/>
        <v>1415.8763203217327</v>
      </c>
      <c r="H348" s="1">
        <f t="shared" si="291"/>
        <v>1440.6546055984493</v>
      </c>
      <c r="I348" s="1">
        <f t="shared" si="291"/>
        <v>1266.0681421489546</v>
      </c>
      <c r="J348" s="1">
        <f t="shared" si="291"/>
        <v>1104.4403835730623</v>
      </c>
      <c r="K348" s="1">
        <f t="shared" si="291"/>
        <v>695.04803653894601</v>
      </c>
      <c r="L348" s="1">
        <f t="shared" si="291"/>
        <v>1006.9618823037598</v>
      </c>
      <c r="M348" s="1">
        <f t="shared" si="291"/>
        <v>1003.2581894868712</v>
      </c>
      <c r="N348" s="1">
        <f t="shared" si="291"/>
        <v>959.85050699241549</v>
      </c>
      <c r="O348" s="1">
        <f t="shared" si="291"/>
        <v>921.68796916141821</v>
      </c>
      <c r="P348" s="1">
        <f t="shared" si="291"/>
        <v>891.20898225967971</v>
      </c>
      <c r="Q348" s="1">
        <f t="shared" si="291"/>
        <v>868.58577481003147</v>
      </c>
      <c r="R348" s="1">
        <f t="shared" si="291"/>
        <v>849.96190279577934</v>
      </c>
      <c r="S348" s="1">
        <f t="shared" si="291"/>
        <v>832.22746741417347</v>
      </c>
      <c r="T348" s="1">
        <f t="shared" si="291"/>
        <v>818.01293581802224</v>
      </c>
      <c r="U348" s="1">
        <f t="shared" si="291"/>
        <v>804.63813455173045</v>
      </c>
      <c r="X348" s="1">
        <f>X326/X354*1000000</f>
        <v>1447.9353827118266</v>
      </c>
      <c r="Y348" s="1">
        <f t="shared" ref="Y348:AE352" si="292">Y326/Y354*1000000</f>
        <v>1434.6942001042951</v>
      </c>
      <c r="Z348" s="1">
        <f t="shared" si="292"/>
        <v>1325.2829374282414</v>
      </c>
      <c r="AA348" s="1">
        <f t="shared" si="292"/>
        <v>1222.233705321959</v>
      </c>
      <c r="AB348" s="1">
        <f t="shared" si="292"/>
        <v>1137.2095771377808</v>
      </c>
      <c r="AC348" s="1">
        <f t="shared" si="292"/>
        <v>1079.3582578451301</v>
      </c>
      <c r="AD348" s="1">
        <f t="shared" si="292"/>
        <v>524.2402538554968</v>
      </c>
      <c r="AE348" s="1">
        <f t="shared" si="292"/>
        <v>823.89884411795924</v>
      </c>
    </row>
    <row r="349" spans="2:31" outlineLevel="1">
      <c r="C349" s="1" t="s">
        <v>199</v>
      </c>
      <c r="F349" s="2">
        <v>1412</v>
      </c>
      <c r="G349" s="2">
        <v>1472</v>
      </c>
      <c r="H349" s="2">
        <v>1546</v>
      </c>
      <c r="I349" s="1">
        <f t="shared" si="291"/>
        <v>1315.9089109149811</v>
      </c>
      <c r="J349" s="1">
        <f t="shared" si="291"/>
        <v>1095.9146867117374</v>
      </c>
      <c r="K349" s="1">
        <f t="shared" si="291"/>
        <v>641.6130776234304</v>
      </c>
      <c r="L349" s="1">
        <f t="shared" ref="L349:U352" si="293">L380*L374</f>
        <v>960.17413170950317</v>
      </c>
      <c r="M349" s="1">
        <f t="shared" si="293"/>
        <v>952.70611068509584</v>
      </c>
      <c r="N349" s="1">
        <f t="shared" si="293"/>
        <v>876.48962183028823</v>
      </c>
      <c r="O349" s="1">
        <f t="shared" si="293"/>
        <v>815.13534830216793</v>
      </c>
      <c r="P349" s="1">
        <f t="shared" si="293"/>
        <v>766.22722740403776</v>
      </c>
      <c r="Q349" s="1">
        <f t="shared" si="293"/>
        <v>727.91586603383587</v>
      </c>
      <c r="R349" s="1">
        <f t="shared" si="293"/>
        <v>691.52007273214406</v>
      </c>
      <c r="S349" s="1">
        <f t="shared" si="293"/>
        <v>656.94406909553675</v>
      </c>
      <c r="T349" s="1">
        <f t="shared" si="293"/>
        <v>624.09686564075992</v>
      </c>
      <c r="U349" s="1">
        <f t="shared" si="293"/>
        <v>592.89202235872187</v>
      </c>
      <c r="X349" s="2">
        <v>1469</v>
      </c>
      <c r="Y349" s="1">
        <f>Y327/Y355*1000000</f>
        <v>1620.8685682548441</v>
      </c>
      <c r="Z349" s="2">
        <v>1418</v>
      </c>
      <c r="AA349" s="1">
        <f t="shared" si="292"/>
        <v>1243.6770892859131</v>
      </c>
      <c r="AB349" s="1">
        <f t="shared" si="292"/>
        <v>1141.9793834158475</v>
      </c>
      <c r="AC349" s="1">
        <f t="shared" si="292"/>
        <v>1061.92945531183</v>
      </c>
      <c r="AD349" s="1">
        <f t="shared" si="292"/>
        <v>467.39509179637082</v>
      </c>
      <c r="AE349" s="1">
        <f t="shared" si="292"/>
        <v>789.95220706960617</v>
      </c>
    </row>
    <row r="350" spans="2:31" outlineLevel="1">
      <c r="C350" s="1" t="s">
        <v>200</v>
      </c>
      <c r="F350" s="2">
        <v>1471</v>
      </c>
      <c r="G350" s="2">
        <v>1559</v>
      </c>
      <c r="H350" s="2">
        <v>1589</v>
      </c>
      <c r="I350" s="1">
        <f t="shared" si="291"/>
        <v>1402.5653924366923</v>
      </c>
      <c r="J350" s="1">
        <f t="shared" si="291"/>
        <v>1165.5213041610027</v>
      </c>
      <c r="K350" s="1">
        <f t="shared" si="291"/>
        <v>723.93569010289241</v>
      </c>
      <c r="L350" s="1">
        <f t="shared" si="293"/>
        <v>1034.5279058192787</v>
      </c>
      <c r="M350" s="1">
        <f t="shared" si="293"/>
        <v>992.26634030495927</v>
      </c>
      <c r="N350" s="1">
        <f t="shared" si="293"/>
        <v>912.88503308056261</v>
      </c>
      <c r="O350" s="1">
        <f t="shared" si="293"/>
        <v>839.85423043411754</v>
      </c>
      <c r="P350" s="1">
        <f t="shared" si="293"/>
        <v>781.06443430372929</v>
      </c>
      <c r="Q350" s="1">
        <f t="shared" si="293"/>
        <v>726.38992390246824</v>
      </c>
      <c r="R350" s="1">
        <f t="shared" si="293"/>
        <v>682.80652846832015</v>
      </c>
      <c r="S350" s="1">
        <f t="shared" si="293"/>
        <v>641.83813676022089</v>
      </c>
      <c r="T350" s="1">
        <f t="shared" si="293"/>
        <v>609.74622992220986</v>
      </c>
      <c r="U350" s="1">
        <f t="shared" si="293"/>
        <v>579.25891842609929</v>
      </c>
      <c r="X350" s="2">
        <v>1642</v>
      </c>
      <c r="Y350" s="1">
        <f>Y328/Y356*1000000</f>
        <v>1547.0369881073468</v>
      </c>
      <c r="Z350" s="2">
        <v>1485</v>
      </c>
      <c r="AA350" s="1">
        <f t="shared" si="292"/>
        <v>1339.0865673990882</v>
      </c>
      <c r="AB350" s="1">
        <f t="shared" si="292"/>
        <v>1215.9645294419224</v>
      </c>
      <c r="AC350" s="1">
        <f t="shared" si="292"/>
        <v>1126.4312488720755</v>
      </c>
      <c r="AD350" s="1">
        <f t="shared" si="292"/>
        <v>539.46250042609063</v>
      </c>
      <c r="AE350" s="1">
        <f t="shared" si="292"/>
        <v>872.08823671330958</v>
      </c>
    </row>
    <row r="351" spans="2:31" outlineLevel="1">
      <c r="C351" s="1" t="s">
        <v>203</v>
      </c>
      <c r="F351" s="2">
        <v>962</v>
      </c>
      <c r="G351" s="2">
        <v>1027</v>
      </c>
      <c r="H351" s="2">
        <v>1112</v>
      </c>
      <c r="I351" s="1">
        <f t="shared" si="291"/>
        <v>1146.8591838623111</v>
      </c>
      <c r="J351" s="1">
        <f t="shared" si="291"/>
        <v>1101.9109424298761</v>
      </c>
      <c r="K351" s="1">
        <f t="shared" si="291"/>
        <v>752.40077863660292</v>
      </c>
      <c r="L351" s="1">
        <f t="shared" si="293"/>
        <v>1079.1045469313667</v>
      </c>
      <c r="M351" s="1">
        <f t="shared" si="293"/>
        <v>1068.3135014620532</v>
      </c>
      <c r="N351" s="1">
        <f t="shared" si="293"/>
        <v>1057.6303664474326</v>
      </c>
      <c r="O351" s="1">
        <f t="shared" si="293"/>
        <v>1047.0540627829582</v>
      </c>
      <c r="P351" s="1">
        <f t="shared" si="293"/>
        <v>1036.5835221551288</v>
      </c>
      <c r="Q351" s="1">
        <f t="shared" si="293"/>
        <v>1036.5835221551288</v>
      </c>
      <c r="R351" s="1">
        <f t="shared" si="293"/>
        <v>1036.5835221551288</v>
      </c>
      <c r="S351" s="1">
        <f t="shared" si="293"/>
        <v>1036.5835221551288</v>
      </c>
      <c r="T351" s="1">
        <f t="shared" si="293"/>
        <v>1036.5835221551288</v>
      </c>
      <c r="U351" s="1">
        <f t="shared" si="293"/>
        <v>1036.5835221551288</v>
      </c>
      <c r="X351" s="2">
        <v>1133</v>
      </c>
      <c r="Y351" s="1">
        <f>Y329/Y357*1000000</f>
        <v>1096.1877051274635</v>
      </c>
      <c r="Z351" s="2">
        <v>1139</v>
      </c>
      <c r="AA351" s="1">
        <f t="shared" si="292"/>
        <v>1152.5273629953585</v>
      </c>
      <c r="AB351" s="1">
        <f t="shared" si="292"/>
        <v>1117.9218226039682</v>
      </c>
      <c r="AC351" s="1">
        <f t="shared" si="292"/>
        <v>1089.717523166858</v>
      </c>
      <c r="AD351" s="1">
        <f t="shared" si="292"/>
        <v>573.82223315169972</v>
      </c>
      <c r="AE351" s="1">
        <f t="shared" si="292"/>
        <v>865.81286174240984</v>
      </c>
    </row>
    <row r="352" spans="2:31" outlineLevel="1">
      <c r="C352" s="1" t="s">
        <v>204</v>
      </c>
      <c r="F352" s="2">
        <v>651</v>
      </c>
      <c r="G352" s="2">
        <v>713</v>
      </c>
      <c r="H352" s="2">
        <v>869</v>
      </c>
      <c r="I352" s="1">
        <f t="shared" si="291"/>
        <v>684.97695696749054</v>
      </c>
      <c r="J352" s="1">
        <f t="shared" si="291"/>
        <v>772.33474634002187</v>
      </c>
      <c r="K352" s="1">
        <f t="shared" si="291"/>
        <v>452.40394254731012</v>
      </c>
      <c r="L352" s="1">
        <f t="shared" si="293"/>
        <v>589.41325265202136</v>
      </c>
      <c r="M352" s="1">
        <f t="shared" si="293"/>
        <v>794.02385321550867</v>
      </c>
      <c r="N352" s="1">
        <f t="shared" si="293"/>
        <v>794.02385321550867</v>
      </c>
      <c r="O352" s="1">
        <f t="shared" si="293"/>
        <v>794.02385321550867</v>
      </c>
      <c r="P352" s="1">
        <f t="shared" si="293"/>
        <v>794.02385321550867</v>
      </c>
      <c r="Q352" s="1">
        <f t="shared" si="293"/>
        <v>794.02385321550867</v>
      </c>
      <c r="R352" s="1">
        <f t="shared" si="293"/>
        <v>794.02385321550867</v>
      </c>
      <c r="S352" s="1">
        <f t="shared" si="293"/>
        <v>794.02385321550867</v>
      </c>
      <c r="T352" s="1">
        <f t="shared" si="293"/>
        <v>794.02385321550867</v>
      </c>
      <c r="U352" s="1">
        <f t="shared" si="293"/>
        <v>794.02385321550867</v>
      </c>
      <c r="X352" s="2">
        <v>722</v>
      </c>
      <c r="Y352" s="1">
        <f>Y330/Y358*1000000</f>
        <v>965.45855374498296</v>
      </c>
      <c r="Z352" s="2">
        <v>666</v>
      </c>
      <c r="AA352" s="1">
        <f t="shared" si="292"/>
        <v>698.75941274555123</v>
      </c>
      <c r="AB352" s="1">
        <f t="shared" si="292"/>
        <v>723.88904733692004</v>
      </c>
      <c r="AC352" s="1">
        <f t="shared" si="292"/>
        <v>811.96432586206731</v>
      </c>
      <c r="AD352" s="1">
        <f t="shared" si="292"/>
        <v>431.96481616491542</v>
      </c>
      <c r="AE352" s="1">
        <f t="shared" si="292"/>
        <v>467.44030800892364</v>
      </c>
    </row>
    <row r="353" spans="2:31" outlineLevel="1"/>
    <row r="354" spans="2:31" s="6" customFormat="1">
      <c r="B354" s="6" t="s">
        <v>213</v>
      </c>
      <c r="F354" s="6">
        <f>F355+F356+F357+F358</f>
        <v>45909.168146188138</v>
      </c>
      <c r="G354" s="6">
        <f t="shared" ref="G354:U354" si="294">G355+G356+G357+G358</f>
        <v>57272.306664198732</v>
      </c>
      <c r="H354" s="6">
        <f t="shared" si="294"/>
        <v>73978.799747728641</v>
      </c>
      <c r="I354" s="6">
        <f t="shared" si="294"/>
        <v>129203.97938410306</v>
      </c>
      <c r="J354" s="6">
        <f t="shared" si="294"/>
        <v>221051.5</v>
      </c>
      <c r="K354" s="6">
        <f t="shared" si="294"/>
        <v>360409</v>
      </c>
      <c r="L354" s="6">
        <f t="shared" si="294"/>
        <v>546770</v>
      </c>
      <c r="M354" s="6">
        <f t="shared" si="294"/>
        <v>692770</v>
      </c>
      <c r="N354" s="6">
        <f t="shared" si="294"/>
        <v>820520</v>
      </c>
      <c r="O354" s="6">
        <f t="shared" si="294"/>
        <v>932568</v>
      </c>
      <c r="P354" s="6">
        <f t="shared" si="294"/>
        <v>1039520</v>
      </c>
      <c r="Q354" s="6">
        <f t="shared" si="294"/>
        <v>1149020</v>
      </c>
      <c r="R354" s="6">
        <f t="shared" si="294"/>
        <v>1240270</v>
      </c>
      <c r="S354" s="6">
        <f t="shared" si="294"/>
        <v>1316868.0000000002</v>
      </c>
      <c r="T354" s="6">
        <f t="shared" si="294"/>
        <v>1386270</v>
      </c>
      <c r="U354" s="6">
        <f t="shared" si="294"/>
        <v>1459270.0000000002</v>
      </c>
      <c r="X354" s="6">
        <f t="shared" ref="X354:AE354" si="295">X355+X356+X357+X358</f>
        <v>33300.92617380312</v>
      </c>
      <c r="Y354" s="6">
        <f t="shared" si="295"/>
        <v>40677.873573925535</v>
      </c>
      <c r="Z354" s="6">
        <f t="shared" si="295"/>
        <v>54959.97938410307</v>
      </c>
      <c r="AA354" s="6">
        <f t="shared" si="295"/>
        <v>74244</v>
      </c>
      <c r="AB354" s="6">
        <f t="shared" si="295"/>
        <v>95839.5</v>
      </c>
      <c r="AC354" s="6">
        <f t="shared" si="295"/>
        <v>125212</v>
      </c>
      <c r="AD354" s="6">
        <f t="shared" si="295"/>
        <v>154973</v>
      </c>
      <c r="AE354" s="6">
        <f t="shared" si="295"/>
        <v>205436</v>
      </c>
    </row>
    <row r="355" spans="2:31" outlineLevel="1">
      <c r="C355" s="1" t="s">
        <v>199</v>
      </c>
      <c r="F355" s="1">
        <f t="shared" ref="F355:H358" si="296">F327*1000000/F349</f>
        <v>17605.054468747338</v>
      </c>
      <c r="G355" s="1">
        <f t="shared" si="296"/>
        <v>19345.038836169533</v>
      </c>
      <c r="H355" s="1">
        <f t="shared" si="296"/>
        <v>19472.184971159124</v>
      </c>
      <c r="I355" s="3">
        <f>Z355+AA355</f>
        <v>28904.953987811692</v>
      </c>
      <c r="J355" s="3">
        <f>AB355+AC355</f>
        <v>53718</v>
      </c>
      <c r="K355" s="3">
        <f>AD355+AE355</f>
        <v>79546</v>
      </c>
      <c r="L355" s="1">
        <f t="shared" ref="L355:U358" si="297">AVERAGE(K280:L280)*L$2</f>
        <v>101297.83018867925</v>
      </c>
      <c r="M355" s="1">
        <f t="shared" si="297"/>
        <v>117013.49056603774</v>
      </c>
      <c r="N355" s="1">
        <f t="shared" si="297"/>
        <v>129578.44339622643</v>
      </c>
      <c r="O355" s="1">
        <f t="shared" si="297"/>
        <v>139556.49056603774</v>
      </c>
      <c r="P355" s="1">
        <f t="shared" si="297"/>
        <v>147676.93396226416</v>
      </c>
      <c r="Q355" s="1">
        <f t="shared" si="297"/>
        <v>155631.17924528301</v>
      </c>
      <c r="R355" s="1">
        <f t="shared" si="297"/>
        <v>162259.71698113205</v>
      </c>
      <c r="S355" s="1">
        <f t="shared" si="297"/>
        <v>168021.62264150946</v>
      </c>
      <c r="T355" s="1">
        <f t="shared" si="297"/>
        <v>172865.37735849057</v>
      </c>
      <c r="U355" s="1">
        <f t="shared" si="297"/>
        <v>178168.20754716982</v>
      </c>
      <c r="X355" s="1">
        <f>X327*1000000/X349</f>
        <v>9599.4492233430265</v>
      </c>
      <c r="Y355" s="1">
        <f>H355-X355</f>
        <v>9872.7357478160975</v>
      </c>
      <c r="Z355" s="1">
        <f>Z327*1000000/Z349</f>
        <v>11976.953987811694</v>
      </c>
      <c r="AA355" s="3">
        <f t="shared" ref="AA355:AE358" si="298">AVERAGE(Z280:AA280)*AA$2</f>
        <v>16928</v>
      </c>
      <c r="AB355" s="3">
        <f t="shared" si="298"/>
        <v>22806</v>
      </c>
      <c r="AC355" s="3">
        <f t="shared" si="298"/>
        <v>30912</v>
      </c>
      <c r="AD355" s="3">
        <f t="shared" si="298"/>
        <v>36582</v>
      </c>
      <c r="AE355" s="3">
        <f t="shared" si="298"/>
        <v>42964</v>
      </c>
    </row>
    <row r="356" spans="2:31" outlineLevel="1">
      <c r="C356" s="1" t="s">
        <v>200</v>
      </c>
      <c r="F356" s="1">
        <f t="shared" si="296"/>
        <v>22735.827232021958</v>
      </c>
      <c r="G356" s="1">
        <f t="shared" si="296"/>
        <v>27370.580156046719</v>
      </c>
      <c r="H356" s="1">
        <f t="shared" si="296"/>
        <v>35550.708366238192</v>
      </c>
      <c r="I356" s="3">
        <f t="shared" ref="I356:I358" si="299">Z356+AA356</f>
        <v>58624.078291764061</v>
      </c>
      <c r="J356" s="3">
        <f t="shared" ref="J356:J358" si="300">AB356+AC356</f>
        <v>96180</v>
      </c>
      <c r="K356" s="3">
        <f t="shared" ref="K356:K358" si="301">AD356+AE356</f>
        <v>147307</v>
      </c>
      <c r="L356" s="1">
        <f t="shared" si="297"/>
        <v>207685</v>
      </c>
      <c r="M356" s="1">
        <f t="shared" si="297"/>
        <v>258785</v>
      </c>
      <c r="N356" s="1">
        <f t="shared" si="297"/>
        <v>303497.5</v>
      </c>
      <c r="O356" s="1">
        <f t="shared" si="297"/>
        <v>342759</v>
      </c>
      <c r="P356" s="1">
        <f t="shared" si="297"/>
        <v>380147.5</v>
      </c>
      <c r="Q356" s="1">
        <f t="shared" si="297"/>
        <v>418472.5</v>
      </c>
      <c r="R356" s="1">
        <f t="shared" si="297"/>
        <v>450410</v>
      </c>
      <c r="S356" s="1">
        <f t="shared" si="297"/>
        <v>477264</v>
      </c>
      <c r="T356" s="1">
        <f t="shared" si="297"/>
        <v>501510</v>
      </c>
      <c r="U356" s="1">
        <f t="shared" si="297"/>
        <v>527060</v>
      </c>
      <c r="X356" s="1">
        <f>X328*1000000/X350</f>
        <v>15709.430105808524</v>
      </c>
      <c r="Y356" s="1">
        <f t="shared" ref="Y356:Y358" si="302">H356-X356</f>
        <v>19841.278260429666</v>
      </c>
      <c r="Z356" s="1">
        <f>Z328*1000000/Z350</f>
        <v>25504.078291764061</v>
      </c>
      <c r="AA356" s="3">
        <f t="shared" si="298"/>
        <v>33120</v>
      </c>
      <c r="AB356" s="3">
        <f t="shared" si="298"/>
        <v>41992</v>
      </c>
      <c r="AC356" s="3">
        <f t="shared" si="298"/>
        <v>54188</v>
      </c>
      <c r="AD356" s="3">
        <f t="shared" si="298"/>
        <v>65611</v>
      </c>
      <c r="AE356" s="3">
        <f t="shared" si="298"/>
        <v>81696</v>
      </c>
    </row>
    <row r="357" spans="2:31" outlineLevel="1">
      <c r="C357" s="1" t="s">
        <v>203</v>
      </c>
      <c r="F357" s="1">
        <f t="shared" si="296"/>
        <v>3590.5384569081671</v>
      </c>
      <c r="G357" s="1">
        <f t="shared" si="296"/>
        <v>7697.3021522344961</v>
      </c>
      <c r="H357" s="1">
        <f t="shared" si="296"/>
        <v>14449.145445548324</v>
      </c>
      <c r="I357" s="3">
        <f t="shared" si="299"/>
        <v>31987.1017538222</v>
      </c>
      <c r="J357" s="3">
        <f t="shared" si="300"/>
        <v>55264</v>
      </c>
      <c r="K357" s="3">
        <f t="shared" si="301"/>
        <v>108007</v>
      </c>
      <c r="L357" s="1">
        <f t="shared" si="297"/>
        <v>200743.11320754717</v>
      </c>
      <c r="M357" s="1">
        <f t="shared" si="297"/>
        <v>273729.33962264151</v>
      </c>
      <c r="N357" s="1">
        <f t="shared" si="297"/>
        <v>338778.53773584904</v>
      </c>
      <c r="O357" s="1">
        <f t="shared" si="297"/>
        <v>396792.33962264151</v>
      </c>
      <c r="P357" s="1">
        <f t="shared" si="297"/>
        <v>453732.87735849066</v>
      </c>
      <c r="Q357" s="1">
        <f t="shared" si="297"/>
        <v>512305.04716981133</v>
      </c>
      <c r="R357" s="1">
        <f t="shared" si="297"/>
        <v>561115.1886792453</v>
      </c>
      <c r="S357" s="1">
        <f t="shared" si="297"/>
        <v>601807.58490566059</v>
      </c>
      <c r="T357" s="1">
        <f t="shared" si="297"/>
        <v>639211.41509433975</v>
      </c>
      <c r="U357" s="1">
        <f t="shared" si="297"/>
        <v>678259.52830188698</v>
      </c>
      <c r="X357" s="1">
        <f>X329*1000000/X351</f>
        <v>6206.4630643721994</v>
      </c>
      <c r="Y357" s="1">
        <f t="shared" si="302"/>
        <v>8242.6823811761242</v>
      </c>
      <c r="Z357" s="1">
        <f>Z329*1000000/Z351</f>
        <v>13403.101753822202</v>
      </c>
      <c r="AA357" s="3">
        <f t="shared" si="298"/>
        <v>18584</v>
      </c>
      <c r="AB357" s="3">
        <f t="shared" si="298"/>
        <v>23892</v>
      </c>
      <c r="AC357" s="3">
        <f t="shared" si="298"/>
        <v>31372</v>
      </c>
      <c r="AD357" s="3">
        <f t="shared" si="298"/>
        <v>41951</v>
      </c>
      <c r="AE357" s="3">
        <f t="shared" si="298"/>
        <v>66056</v>
      </c>
    </row>
    <row r="358" spans="2:31" outlineLevel="1">
      <c r="C358" s="1" t="s">
        <v>204</v>
      </c>
      <c r="F358" s="1">
        <f t="shared" si="296"/>
        <v>1977.7479885106698</v>
      </c>
      <c r="G358" s="1">
        <f t="shared" si="296"/>
        <v>2859.3855197479884</v>
      </c>
      <c r="H358" s="1">
        <f t="shared" si="296"/>
        <v>4506.7609647830113</v>
      </c>
      <c r="I358" s="3">
        <f t="shared" si="299"/>
        <v>9687.8453507051163</v>
      </c>
      <c r="J358" s="3">
        <f t="shared" si="300"/>
        <v>15889.5</v>
      </c>
      <c r="K358" s="3">
        <f t="shared" si="301"/>
        <v>25549</v>
      </c>
      <c r="L358" s="1">
        <f t="shared" si="297"/>
        <v>37044.056603773592</v>
      </c>
      <c r="M358" s="1">
        <f t="shared" si="297"/>
        <v>43242.169811320753</v>
      </c>
      <c r="N358" s="1">
        <f t="shared" si="297"/>
        <v>48665.518867924518</v>
      </c>
      <c r="O358" s="1">
        <f t="shared" si="297"/>
        <v>53460.169811320731</v>
      </c>
      <c r="P358" s="1">
        <f t="shared" si="297"/>
        <v>57962.68867924525</v>
      </c>
      <c r="Q358" s="1">
        <f t="shared" si="297"/>
        <v>62611.273584905612</v>
      </c>
      <c r="R358" s="1">
        <f t="shared" si="297"/>
        <v>66485.094339622592</v>
      </c>
      <c r="S358" s="1">
        <f t="shared" si="297"/>
        <v>69774.792452830137</v>
      </c>
      <c r="T358" s="1">
        <f t="shared" si="297"/>
        <v>72683.207547169761</v>
      </c>
      <c r="U358" s="1">
        <f t="shared" si="297"/>
        <v>75782.264150943345</v>
      </c>
      <c r="X358" s="1">
        <f>X330*1000000/X352</f>
        <v>1785.5837802793656</v>
      </c>
      <c r="Y358" s="1">
        <f t="shared" si="302"/>
        <v>2721.1771845036455</v>
      </c>
      <c r="Z358" s="1">
        <f>Z330*1000000/Z352</f>
        <v>4075.8453507051167</v>
      </c>
      <c r="AA358" s="3">
        <f t="shared" si="298"/>
        <v>5612</v>
      </c>
      <c r="AB358" s="3">
        <f t="shared" si="298"/>
        <v>7149.5</v>
      </c>
      <c r="AC358" s="3">
        <f t="shared" si="298"/>
        <v>8740</v>
      </c>
      <c r="AD358" s="3">
        <f t="shared" si="298"/>
        <v>10829</v>
      </c>
      <c r="AE358" s="3">
        <f t="shared" si="298"/>
        <v>14720</v>
      </c>
    </row>
    <row r="359" spans="2:31" outlineLevel="1"/>
    <row r="360" spans="2:31" ht="19" outlineLevel="1">
      <c r="C360" s="40" t="s">
        <v>214</v>
      </c>
      <c r="F360" s="1">
        <f t="shared" ref="F360:K364" si="303">F354/F279</f>
        <v>314.44635716567217</v>
      </c>
      <c r="G360" s="1">
        <f t="shared" si="303"/>
        <v>325.410833319311</v>
      </c>
      <c r="H360" s="1">
        <f t="shared" si="303"/>
        <v>270.98461446054449</v>
      </c>
      <c r="I360" s="1">
        <f t="shared" si="303"/>
        <v>277.26175833498513</v>
      </c>
      <c r="J360" s="1">
        <f t="shared" si="303"/>
        <v>287.82747395833331</v>
      </c>
      <c r="K360" s="1">
        <f t="shared" si="303"/>
        <v>277.66486902927579</v>
      </c>
      <c r="X360" s="1">
        <f t="shared" ref="X360:AE364" si="304">X354/X279</f>
        <v>164.04397129952275</v>
      </c>
      <c r="Y360" s="1">
        <f t="shared" si="304"/>
        <v>149.00319990448915</v>
      </c>
      <c r="Z360" s="1">
        <f t="shared" si="304"/>
        <v>161.1729600706835</v>
      </c>
      <c r="AA360" s="1">
        <f t="shared" si="304"/>
        <v>159.32188841201716</v>
      </c>
      <c r="AB360" s="1">
        <f t="shared" si="304"/>
        <v>161.61804384485666</v>
      </c>
      <c r="AC360" s="1">
        <f t="shared" si="304"/>
        <v>163.03645833333334</v>
      </c>
      <c r="AD360" s="1">
        <f t="shared" si="304"/>
        <v>165.74652406417113</v>
      </c>
      <c r="AE360" s="1">
        <f t="shared" si="304"/>
        <v>158.27118644067798</v>
      </c>
    </row>
    <row r="361" spans="2:31" outlineLevel="1">
      <c r="C361" s="1" t="s">
        <v>199</v>
      </c>
      <c r="F361" s="1">
        <f t="shared" si="303"/>
        <v>352.10108937494675</v>
      </c>
      <c r="G361" s="1">
        <f t="shared" si="303"/>
        <v>351.72797883944605</v>
      </c>
      <c r="H361" s="1">
        <f t="shared" si="303"/>
        <v>299.57207647937116</v>
      </c>
      <c r="I361" s="1">
        <f t="shared" si="303"/>
        <v>272.68824516803483</v>
      </c>
      <c r="J361" s="1">
        <f t="shared" si="303"/>
        <v>282.72631578947369</v>
      </c>
      <c r="K361" s="1">
        <f t="shared" si="303"/>
        <v>311.94509803921568</v>
      </c>
      <c r="X361" s="1">
        <f t="shared" si="304"/>
        <v>168.411389883211</v>
      </c>
      <c r="Y361" s="1">
        <f t="shared" si="304"/>
        <v>151.88824227409381</v>
      </c>
      <c r="Z361" s="1">
        <f t="shared" si="304"/>
        <v>153.55069215143197</v>
      </c>
      <c r="AA361" s="1">
        <f t="shared" si="304"/>
        <v>159.69811320754718</v>
      </c>
      <c r="AB361" s="1">
        <f t="shared" si="304"/>
        <v>156.20547945205479</v>
      </c>
      <c r="AC361" s="1">
        <f t="shared" si="304"/>
        <v>162.69473684210527</v>
      </c>
      <c r="AD361" s="1">
        <f t="shared" si="304"/>
        <v>172.5566037735849</v>
      </c>
      <c r="AE361" s="1">
        <f t="shared" si="304"/>
        <v>168.48627450980393</v>
      </c>
    </row>
    <row r="362" spans="2:31" outlineLevel="1">
      <c r="C362" s="1" t="s">
        <v>200</v>
      </c>
      <c r="F362" s="1">
        <f t="shared" si="303"/>
        <v>320.22291876087263</v>
      </c>
      <c r="G362" s="1">
        <f t="shared" si="303"/>
        <v>329.76602597646649</v>
      </c>
      <c r="H362" s="1">
        <f t="shared" si="303"/>
        <v>296.25590305198494</v>
      </c>
      <c r="I362" s="1">
        <f t="shared" si="303"/>
        <v>283.20810768968147</v>
      </c>
      <c r="J362" s="1">
        <f t="shared" si="303"/>
        <v>289.69879518072287</v>
      </c>
      <c r="K362" s="1">
        <f t="shared" si="303"/>
        <v>295.20440881763528</v>
      </c>
      <c r="X362" s="1">
        <f t="shared" si="304"/>
        <v>165.36242216640551</v>
      </c>
      <c r="Y362" s="1">
        <f t="shared" si="304"/>
        <v>165.34398550358054</v>
      </c>
      <c r="Z362" s="1">
        <f t="shared" si="304"/>
        <v>166.69332216839254</v>
      </c>
      <c r="AA362" s="1">
        <f t="shared" si="304"/>
        <v>160</v>
      </c>
      <c r="AB362" s="1">
        <f t="shared" si="304"/>
        <v>163.3929961089494</v>
      </c>
      <c r="AC362" s="1">
        <f t="shared" si="304"/>
        <v>163.21686746987953</v>
      </c>
      <c r="AD362" s="1">
        <f t="shared" si="304"/>
        <v>168.66580976863753</v>
      </c>
      <c r="AE362" s="1">
        <f t="shared" si="304"/>
        <v>163.71943887775552</v>
      </c>
    </row>
    <row r="363" spans="2:31" outlineLevel="1">
      <c r="C363" s="1" t="s">
        <v>203</v>
      </c>
      <c r="F363" s="1">
        <f t="shared" si="303"/>
        <v>199.4743587171204</v>
      </c>
      <c r="G363" s="1">
        <f t="shared" si="303"/>
        <v>265.42421214601711</v>
      </c>
      <c r="H363" s="1">
        <f t="shared" si="303"/>
        <v>209.40790500794671</v>
      </c>
      <c r="I363" s="1">
        <f t="shared" si="303"/>
        <v>273.39403208395044</v>
      </c>
      <c r="J363" s="1">
        <f t="shared" si="303"/>
        <v>284.86597938144331</v>
      </c>
      <c r="K363" s="1">
        <f t="shared" si="303"/>
        <v>239.48337028824832</v>
      </c>
      <c r="X363" s="1">
        <f t="shared" si="304"/>
        <v>159.14007857364615</v>
      </c>
      <c r="Y363" s="1">
        <f t="shared" si="304"/>
        <v>119.45916494458152</v>
      </c>
      <c r="Z363" s="1">
        <f t="shared" si="304"/>
        <v>157.68355004496709</v>
      </c>
      <c r="AA363" s="1">
        <f t="shared" si="304"/>
        <v>158.83760683760684</v>
      </c>
      <c r="AB363" s="1">
        <f t="shared" si="304"/>
        <v>162.53061224489795</v>
      </c>
      <c r="AC363" s="1">
        <f t="shared" si="304"/>
        <v>161.71134020618555</v>
      </c>
      <c r="AD363" s="1">
        <f t="shared" si="304"/>
        <v>157.11985018726591</v>
      </c>
      <c r="AE363" s="1">
        <f t="shared" si="304"/>
        <v>146.46563192904657</v>
      </c>
    </row>
    <row r="364" spans="2:31" outlineLevel="1">
      <c r="C364" s="1" t="s">
        <v>204</v>
      </c>
      <c r="F364" s="1">
        <f t="shared" si="303"/>
        <v>282.5354269300957</v>
      </c>
      <c r="G364" s="1">
        <f t="shared" si="303"/>
        <v>317.70950219422093</v>
      </c>
      <c r="H364" s="1">
        <f t="shared" si="303"/>
        <v>237.19794551489534</v>
      </c>
      <c r="I364" s="1">
        <f t="shared" si="303"/>
        <v>269.10681529736434</v>
      </c>
      <c r="J364" s="1">
        <f t="shared" si="303"/>
        <v>305.56730769230768</v>
      </c>
      <c r="K364" s="1">
        <f t="shared" si="303"/>
        <v>274.72043010752691</v>
      </c>
      <c r="X364" s="1">
        <f t="shared" si="304"/>
        <v>148.7986483566138</v>
      </c>
      <c r="Y364" s="1">
        <f t="shared" si="304"/>
        <v>143.21985181598134</v>
      </c>
      <c r="Z364" s="1">
        <f t="shared" si="304"/>
        <v>163.03381402820466</v>
      </c>
      <c r="AA364" s="1">
        <f t="shared" si="304"/>
        <v>155.88888888888889</v>
      </c>
      <c r="AB364" s="1">
        <f t="shared" si="304"/>
        <v>166.26744186046511</v>
      </c>
      <c r="AC364" s="1">
        <f t="shared" si="304"/>
        <v>168.07692307692307</v>
      </c>
      <c r="AD364" s="1">
        <f t="shared" si="304"/>
        <v>161.62686567164178</v>
      </c>
      <c r="AE364" s="1">
        <f t="shared" si="304"/>
        <v>158.27956989247312</v>
      </c>
    </row>
    <row r="365" spans="2:31" outlineLevel="1"/>
    <row r="366" spans="2:31">
      <c r="B366" s="1" t="s">
        <v>215</v>
      </c>
      <c r="F366" s="22">
        <f t="shared" ref="F366:U366" si="305">F391*1000/F354</f>
        <v>125.97943359773591</v>
      </c>
      <c r="G366" s="22">
        <f t="shared" si="305"/>
        <v>133.7968460905399</v>
      </c>
      <c r="H366" s="22">
        <f t="shared" si="305"/>
        <v>140.74246994416362</v>
      </c>
      <c r="I366" s="22">
        <f t="shared" si="305"/>
        <v>127.95040120903597</v>
      </c>
      <c r="J366" s="22">
        <f t="shared" si="305"/>
        <v>116.16018891525277</v>
      </c>
      <c r="K366" s="22">
        <f t="shared" si="305"/>
        <v>76.500276075236741</v>
      </c>
      <c r="L366" s="22">
        <f t="shared" si="305"/>
        <v>113.97865150620922</v>
      </c>
      <c r="M366" s="22">
        <f t="shared" si="305"/>
        <v>118.67247003144124</v>
      </c>
      <c r="N366" s="22">
        <f t="shared" si="305"/>
        <v>117.61208782944773</v>
      </c>
      <c r="O366" s="22">
        <f t="shared" si="305"/>
        <v>117.13137350708678</v>
      </c>
      <c r="P366" s="22">
        <f t="shared" si="305"/>
        <v>117.50467007438644</v>
      </c>
      <c r="Q366" s="22">
        <f t="shared" si="305"/>
        <v>118.81802474362671</v>
      </c>
      <c r="R366" s="22">
        <f t="shared" si="305"/>
        <v>120.69097067383926</v>
      </c>
      <c r="S366" s="22">
        <f t="shared" si="305"/>
        <v>122.71437619186386</v>
      </c>
      <c r="T366" s="22">
        <f t="shared" si="305"/>
        <v>125.2572129471385</v>
      </c>
      <c r="U366" s="22">
        <f t="shared" si="305"/>
        <v>127.95734420317706</v>
      </c>
    </row>
    <row r="367" spans="2:31" s="22" customFormat="1" outlineLevel="1">
      <c r="C367" s="22" t="s">
        <v>199</v>
      </c>
      <c r="F367" s="22">
        <f t="shared" ref="F367:K370" si="306">F393*1000/F355</f>
        <v>131.59840000000003</v>
      </c>
      <c r="G367" s="22">
        <f t="shared" si="306"/>
        <v>140.2816</v>
      </c>
      <c r="H367" s="22">
        <f t="shared" si="306"/>
        <v>151.9718</v>
      </c>
      <c r="I367" s="22">
        <f t="shared" si="306"/>
        <v>139.61793544807946</v>
      </c>
      <c r="J367" s="22">
        <f t="shared" si="306"/>
        <v>120.66020700696228</v>
      </c>
      <c r="K367" s="22">
        <f t="shared" si="306"/>
        <v>74.555439619842602</v>
      </c>
      <c r="X367" s="22">
        <f t="shared" ref="X367:AE370" si="307">X393*1000/X355</f>
        <v>148.66280000000003</v>
      </c>
      <c r="Y367" s="22">
        <f t="shared" si="307"/>
        <v>155.18920379682177</v>
      </c>
      <c r="Z367" s="22">
        <f t="shared" si="307"/>
        <v>150.30799999999999</v>
      </c>
      <c r="AA367" s="22">
        <f t="shared" si="307"/>
        <v>132.05446597353497</v>
      </c>
      <c r="AB367" s="22">
        <f t="shared" si="307"/>
        <v>125.61773217574323</v>
      </c>
      <c r="AC367" s="22">
        <f t="shared" si="307"/>
        <v>117.00268504140787</v>
      </c>
      <c r="AD367" s="22">
        <f t="shared" si="307"/>
        <v>55.199360341151383</v>
      </c>
      <c r="AE367" s="22">
        <f t="shared" si="307"/>
        <v>91.036309468392147</v>
      </c>
    </row>
    <row r="368" spans="2:31" s="22" customFormat="1" outlineLevel="1">
      <c r="C368" s="22" t="s">
        <v>200</v>
      </c>
      <c r="F368" s="22">
        <f t="shared" si="306"/>
        <v>126.65309999999998</v>
      </c>
      <c r="G368" s="22">
        <f t="shared" si="306"/>
        <v>137.97149999999999</v>
      </c>
      <c r="H368" s="22">
        <f t="shared" si="306"/>
        <v>147.1414</v>
      </c>
      <c r="I368" s="22">
        <f t="shared" si="306"/>
        <v>132.96319920299842</v>
      </c>
      <c r="J368" s="22">
        <f t="shared" si="306"/>
        <v>115.85281763360366</v>
      </c>
      <c r="K368" s="22">
        <f t="shared" si="306"/>
        <v>76.520002443875711</v>
      </c>
      <c r="X368" s="22">
        <f t="shared" si="307"/>
        <v>148.92940000000002</v>
      </c>
      <c r="Y368" s="22">
        <f t="shared" si="307"/>
        <v>145.72574216482894</v>
      </c>
      <c r="Z368" s="22">
        <f t="shared" si="307"/>
        <v>139.88700000000003</v>
      </c>
      <c r="AA368" s="22">
        <f t="shared" si="307"/>
        <v>127.63152173913046</v>
      </c>
      <c r="AB368" s="22">
        <f t="shared" si="307"/>
        <v>119.65090969708515</v>
      </c>
      <c r="AC368" s="22">
        <f t="shared" si="307"/>
        <v>112.90955562117074</v>
      </c>
      <c r="AD368" s="22">
        <f t="shared" si="307"/>
        <v>57.938272545762146</v>
      </c>
      <c r="AE368" s="22">
        <f t="shared" si="307"/>
        <v>91.443204073638867</v>
      </c>
    </row>
    <row r="369" spans="2:31" s="22" customFormat="1" outlineLevel="1">
      <c r="C369" s="22" t="s">
        <v>203</v>
      </c>
      <c r="F369" s="22">
        <f t="shared" si="306"/>
        <v>86.387600000000006</v>
      </c>
      <c r="G369" s="22">
        <f t="shared" si="306"/>
        <v>95.305599999999998</v>
      </c>
      <c r="H369" s="22">
        <f t="shared" si="306"/>
        <v>105.084</v>
      </c>
      <c r="I369" s="22">
        <f t="shared" si="306"/>
        <v>105.62573083371885</v>
      </c>
      <c r="J369" s="22">
        <f t="shared" si="306"/>
        <v>104.57134843659526</v>
      </c>
      <c r="K369" s="22">
        <f t="shared" si="306"/>
        <v>75.390558019387626</v>
      </c>
      <c r="X369" s="22">
        <f t="shared" si="307"/>
        <v>102.5365</v>
      </c>
      <c r="Y369" s="22">
        <f t="shared" si="307"/>
        <v>107.00218196132315</v>
      </c>
      <c r="Z369" s="22">
        <f t="shared" si="307"/>
        <v>104.56019999999998</v>
      </c>
      <c r="AA369" s="22">
        <f t="shared" si="307"/>
        <v>106.39421007318123</v>
      </c>
      <c r="AB369" s="22">
        <f t="shared" si="307"/>
        <v>105.97898878285619</v>
      </c>
      <c r="AC369" s="22">
        <f t="shared" si="307"/>
        <v>103.49933061328574</v>
      </c>
      <c r="AD369" s="22">
        <f t="shared" si="307"/>
        <v>58.415103334843032</v>
      </c>
      <c r="AE369" s="22">
        <f t="shared" si="307"/>
        <v>86.171369746881425</v>
      </c>
    </row>
    <row r="370" spans="2:31" s="22" customFormat="1" outlineLevel="1">
      <c r="C370" s="22" t="s">
        <v>204</v>
      </c>
      <c r="F370" s="22">
        <f t="shared" si="306"/>
        <v>140.09520000000001</v>
      </c>
      <c r="G370" s="22">
        <f t="shared" si="306"/>
        <v>153.58019999999999</v>
      </c>
      <c r="H370" s="22">
        <f t="shared" si="306"/>
        <v>156.07239999999999</v>
      </c>
      <c r="I370" s="22">
        <f t="shared" si="306"/>
        <v>136.51590752362085</v>
      </c>
      <c r="J370" s="22">
        <f t="shared" si="306"/>
        <v>143.11362849680606</v>
      </c>
      <c r="K370" s="22">
        <f t="shared" si="306"/>
        <v>87.132999334611924</v>
      </c>
      <c r="X370" s="22">
        <f t="shared" si="307"/>
        <v>152.70300000000003</v>
      </c>
      <c r="Y370" s="22">
        <f t="shared" si="307"/>
        <v>158.28333504073703</v>
      </c>
      <c r="Z370" s="22">
        <f t="shared" si="307"/>
        <v>130.60259999999997</v>
      </c>
      <c r="AA370" s="22">
        <f t="shared" si="307"/>
        <v>140.81058446186742</v>
      </c>
      <c r="AB370" s="22">
        <f t="shared" si="307"/>
        <v>134.28141828099868</v>
      </c>
      <c r="AC370" s="22">
        <f t="shared" si="307"/>
        <v>150.33855835240271</v>
      </c>
      <c r="AD370" s="22">
        <f t="shared" si="307"/>
        <v>82.63486933234833</v>
      </c>
      <c r="AE370" s="22">
        <f t="shared" si="307"/>
        <v>90.442119565217396</v>
      </c>
    </row>
    <row r="371" spans="2:31" outlineLevel="1"/>
    <row r="373" spans="2:31" s="6" customFormat="1">
      <c r="B373" s="6" t="s">
        <v>216</v>
      </c>
      <c r="F373" s="42">
        <v>4</v>
      </c>
      <c r="G373" s="42">
        <v>4.5</v>
      </c>
      <c r="H373" s="42">
        <v>5</v>
      </c>
      <c r="I373" s="42">
        <v>5</v>
      </c>
      <c r="J373" s="42">
        <v>4.8</v>
      </c>
      <c r="K373" s="42">
        <v>3.5</v>
      </c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X373" s="42">
        <v>5</v>
      </c>
      <c r="Y373" s="42"/>
      <c r="Z373" s="42">
        <v>4.9000000000000004</v>
      </c>
      <c r="AA373" s="42"/>
      <c r="AB373" s="42">
        <v>4.8</v>
      </c>
      <c r="AC373" s="42"/>
      <c r="AD373" s="42">
        <v>3.3</v>
      </c>
      <c r="AE373" s="42"/>
    </row>
    <row r="374" spans="2:31" s="44" customFormat="1">
      <c r="C374" s="44" t="s">
        <v>199</v>
      </c>
      <c r="F374" s="45">
        <v>3.9</v>
      </c>
      <c r="G374" s="45">
        <v>4.3</v>
      </c>
      <c r="H374" s="45">
        <v>4.8</v>
      </c>
      <c r="I374" s="45">
        <v>5.0999999999999996</v>
      </c>
      <c r="J374" s="45">
        <v>4.7</v>
      </c>
      <c r="K374" s="45">
        <v>3.4</v>
      </c>
      <c r="L374" s="46">
        <v>4.5</v>
      </c>
      <c r="M374" s="46">
        <v>4.7</v>
      </c>
      <c r="N374" s="46">
        <f t="shared" ref="N374:U377" si="308">M374</f>
        <v>4.7</v>
      </c>
      <c r="O374" s="46">
        <f t="shared" si="308"/>
        <v>4.7</v>
      </c>
      <c r="P374" s="46">
        <f t="shared" si="308"/>
        <v>4.7</v>
      </c>
      <c r="Q374" s="46">
        <f t="shared" si="308"/>
        <v>4.7</v>
      </c>
      <c r="R374" s="46">
        <f t="shared" si="308"/>
        <v>4.7</v>
      </c>
      <c r="S374" s="46">
        <f t="shared" si="308"/>
        <v>4.7</v>
      </c>
      <c r="T374" s="46">
        <f t="shared" si="308"/>
        <v>4.7</v>
      </c>
      <c r="U374" s="46">
        <f t="shared" si="308"/>
        <v>4.7</v>
      </c>
      <c r="X374" s="45">
        <v>4.7</v>
      </c>
      <c r="Z374" s="45">
        <v>4.9000000000000004</v>
      </c>
      <c r="AB374" s="45">
        <v>4.8</v>
      </c>
      <c r="AD374" s="45">
        <v>3</v>
      </c>
    </row>
    <row r="375" spans="2:31" s="44" customFormat="1">
      <c r="C375" s="44" t="s">
        <v>200</v>
      </c>
      <c r="F375" s="45">
        <v>4.0999999999999996</v>
      </c>
      <c r="G375" s="45">
        <v>4.8</v>
      </c>
      <c r="H375" s="45">
        <v>5.2</v>
      </c>
      <c r="I375" s="45">
        <v>5.3</v>
      </c>
      <c r="J375" s="45">
        <v>4.9000000000000004</v>
      </c>
      <c r="K375" s="45">
        <v>3.6</v>
      </c>
      <c r="L375" s="46">
        <v>4.7</v>
      </c>
      <c r="M375" s="46">
        <f t="shared" ref="M375:M377" si="309">J375</f>
        <v>4.9000000000000004</v>
      </c>
      <c r="N375" s="46">
        <f t="shared" si="308"/>
        <v>4.9000000000000004</v>
      </c>
      <c r="O375" s="46">
        <f t="shared" si="308"/>
        <v>4.9000000000000004</v>
      </c>
      <c r="P375" s="46">
        <f t="shared" si="308"/>
        <v>4.9000000000000004</v>
      </c>
      <c r="Q375" s="46">
        <f t="shared" si="308"/>
        <v>4.9000000000000004</v>
      </c>
      <c r="R375" s="46">
        <f t="shared" si="308"/>
        <v>4.9000000000000004</v>
      </c>
      <c r="S375" s="46">
        <f t="shared" si="308"/>
        <v>4.9000000000000004</v>
      </c>
      <c r="T375" s="46">
        <f t="shared" si="308"/>
        <v>4.9000000000000004</v>
      </c>
      <c r="U375" s="46">
        <f t="shared" si="308"/>
        <v>4.9000000000000004</v>
      </c>
      <c r="X375" s="45">
        <v>5.2</v>
      </c>
      <c r="Z375" s="45">
        <v>5.0999999999999996</v>
      </c>
      <c r="AB375" s="45">
        <v>5</v>
      </c>
      <c r="AD375" s="45">
        <v>3.5</v>
      </c>
    </row>
    <row r="376" spans="2:31" s="44" customFormat="1">
      <c r="C376" s="44" t="s">
        <v>203</v>
      </c>
      <c r="F376" s="45">
        <v>3.5</v>
      </c>
      <c r="G376" s="45">
        <v>4.3</v>
      </c>
      <c r="H376" s="45">
        <v>4.7</v>
      </c>
      <c r="I376" s="45">
        <v>4.8</v>
      </c>
      <c r="J376" s="45">
        <v>4.7</v>
      </c>
      <c r="K376" s="45">
        <v>3.6</v>
      </c>
      <c r="L376" s="46">
        <v>4.7</v>
      </c>
      <c r="M376" s="46">
        <f t="shared" si="309"/>
        <v>4.7</v>
      </c>
      <c r="N376" s="46">
        <f t="shared" si="308"/>
        <v>4.7</v>
      </c>
      <c r="O376" s="46">
        <f t="shared" si="308"/>
        <v>4.7</v>
      </c>
      <c r="P376" s="46">
        <f t="shared" si="308"/>
        <v>4.7</v>
      </c>
      <c r="Q376" s="46">
        <f t="shared" si="308"/>
        <v>4.7</v>
      </c>
      <c r="R376" s="46">
        <f t="shared" si="308"/>
        <v>4.7</v>
      </c>
      <c r="S376" s="46">
        <f t="shared" si="308"/>
        <v>4.7</v>
      </c>
      <c r="T376" s="46">
        <f t="shared" si="308"/>
        <v>4.7</v>
      </c>
      <c r="U376" s="46">
        <f t="shared" si="308"/>
        <v>4.7</v>
      </c>
      <c r="X376" s="45">
        <v>4.7</v>
      </c>
      <c r="Z376" s="45">
        <v>4.5999999999999996</v>
      </c>
      <c r="AB376" s="45">
        <v>4.7</v>
      </c>
      <c r="AD376" s="45">
        <v>3.6</v>
      </c>
    </row>
    <row r="377" spans="2:31" s="44" customFormat="1">
      <c r="C377" s="44" t="s">
        <v>204</v>
      </c>
      <c r="F377" s="45">
        <v>4.4000000000000004</v>
      </c>
      <c r="G377" s="45">
        <v>4.8</v>
      </c>
      <c r="H377" s="45">
        <v>4.4000000000000004</v>
      </c>
      <c r="I377" s="45">
        <v>3.8</v>
      </c>
      <c r="J377" s="45">
        <v>4.0999999999999996</v>
      </c>
      <c r="K377" s="45">
        <v>2.8</v>
      </c>
      <c r="L377" s="46">
        <v>3.5</v>
      </c>
      <c r="M377" s="46">
        <f t="shared" si="309"/>
        <v>4.0999999999999996</v>
      </c>
      <c r="N377" s="46">
        <f t="shared" si="308"/>
        <v>4.0999999999999996</v>
      </c>
      <c r="O377" s="46">
        <f t="shared" si="308"/>
        <v>4.0999999999999996</v>
      </c>
      <c r="P377" s="46">
        <f t="shared" si="308"/>
        <v>4.0999999999999996</v>
      </c>
      <c r="Q377" s="46">
        <f t="shared" si="308"/>
        <v>4.0999999999999996</v>
      </c>
      <c r="R377" s="46">
        <f t="shared" si="308"/>
        <v>4.0999999999999996</v>
      </c>
      <c r="S377" s="46">
        <f t="shared" si="308"/>
        <v>4.0999999999999996</v>
      </c>
      <c r="T377" s="46">
        <f t="shared" si="308"/>
        <v>4.0999999999999996</v>
      </c>
      <c r="U377" s="46">
        <f t="shared" si="308"/>
        <v>4.0999999999999996</v>
      </c>
      <c r="X377" s="45">
        <v>4.4000000000000004</v>
      </c>
      <c r="Z377" s="45">
        <v>3.7</v>
      </c>
      <c r="AB377" s="45">
        <v>3.9</v>
      </c>
      <c r="AD377" s="45">
        <v>2.6</v>
      </c>
    </row>
    <row r="379" spans="2:31">
      <c r="B379" s="1" t="s">
        <v>217</v>
      </c>
      <c r="F379" s="1">
        <f t="shared" ref="F379:K383" si="310">F348/F373</f>
        <v>343.31024308418154</v>
      </c>
      <c r="G379" s="1">
        <f t="shared" si="310"/>
        <v>314.63918229371836</v>
      </c>
      <c r="H379" s="1">
        <f t="shared" si="310"/>
        <v>288.13092111968984</v>
      </c>
      <c r="I379" s="1">
        <f t="shared" si="310"/>
        <v>253.21362842979093</v>
      </c>
      <c r="J379" s="1">
        <f t="shared" si="310"/>
        <v>230.09174657772132</v>
      </c>
      <c r="K379" s="1">
        <f t="shared" si="310"/>
        <v>198.58515329684172</v>
      </c>
      <c r="X379" s="1">
        <f t="shared" ref="X379" si="311">X348/X373</f>
        <v>289.58707654236531</v>
      </c>
      <c r="Z379" s="1">
        <f t="shared" ref="Z379" si="312">Z348/Z373</f>
        <v>270.46590559760028</v>
      </c>
      <c r="AB379" s="1">
        <f t="shared" ref="AB379" si="313">AB348/AB373</f>
        <v>236.91866190370433</v>
      </c>
      <c r="AD379" s="1">
        <f t="shared" ref="AD379" si="314">AD348/AD373</f>
        <v>158.86068298651418</v>
      </c>
    </row>
    <row r="380" spans="2:31">
      <c r="C380" s="44" t="s">
        <v>199</v>
      </c>
      <c r="F380" s="1">
        <f t="shared" si="310"/>
        <v>362.05128205128204</v>
      </c>
      <c r="G380" s="1">
        <f t="shared" si="310"/>
        <v>342.32558139534888</v>
      </c>
      <c r="H380" s="1">
        <f t="shared" si="310"/>
        <v>322.08333333333337</v>
      </c>
      <c r="I380" s="1">
        <f t="shared" si="310"/>
        <v>258.02135508136888</v>
      </c>
      <c r="J380" s="1">
        <f t="shared" si="310"/>
        <v>233.173337598242</v>
      </c>
      <c r="K380" s="1">
        <f t="shared" si="310"/>
        <v>188.70972871277365</v>
      </c>
      <c r="L380" s="1">
        <f t="shared" ref="L380:U383" si="315">K380*(1+L386)</f>
        <v>213.37202926877848</v>
      </c>
      <c r="M380" s="1">
        <f t="shared" si="315"/>
        <v>202.70342780533954</v>
      </c>
      <c r="N380" s="1">
        <f t="shared" si="315"/>
        <v>186.48715358091238</v>
      </c>
      <c r="O380" s="1">
        <f t="shared" si="315"/>
        <v>173.4330528302485</v>
      </c>
      <c r="P380" s="1">
        <f t="shared" si="315"/>
        <v>163.02706966043357</v>
      </c>
      <c r="Q380" s="1">
        <f t="shared" si="315"/>
        <v>154.87571617741187</v>
      </c>
      <c r="R380" s="1">
        <f t="shared" si="315"/>
        <v>147.13193036854128</v>
      </c>
      <c r="S380" s="1">
        <f t="shared" si="315"/>
        <v>139.77533385011421</v>
      </c>
      <c r="T380" s="1">
        <f t="shared" si="315"/>
        <v>132.78656715760849</v>
      </c>
      <c r="U380" s="1">
        <f t="shared" si="315"/>
        <v>126.14723879972806</v>
      </c>
      <c r="X380" s="1">
        <f>X349/X374</f>
        <v>312.55319148936167</v>
      </c>
      <c r="Z380" s="1">
        <f>Z349/Z374</f>
        <v>289.38775510204079</v>
      </c>
      <c r="AB380" s="1">
        <f>AB349/AB374</f>
        <v>237.91237154496824</v>
      </c>
      <c r="AD380" s="1">
        <f>AD349/AD374</f>
        <v>155.79836393212361</v>
      </c>
    </row>
    <row r="381" spans="2:31">
      <c r="C381" s="44" t="s">
        <v>200</v>
      </c>
      <c r="F381" s="1">
        <f t="shared" si="310"/>
        <v>358.78048780487808</v>
      </c>
      <c r="G381" s="1">
        <f t="shared" si="310"/>
        <v>324.79166666666669</v>
      </c>
      <c r="H381" s="1">
        <f t="shared" si="310"/>
        <v>305.57692307692309</v>
      </c>
      <c r="I381" s="1">
        <f t="shared" si="310"/>
        <v>264.6349797050363</v>
      </c>
      <c r="J381" s="1">
        <f t="shared" si="310"/>
        <v>237.86149064510258</v>
      </c>
      <c r="K381" s="1">
        <f t="shared" si="310"/>
        <v>201.09324725080344</v>
      </c>
      <c r="L381" s="1">
        <f t="shared" si="315"/>
        <v>220.11232038708056</v>
      </c>
      <c r="M381" s="1">
        <f t="shared" si="315"/>
        <v>202.50333475611413</v>
      </c>
      <c r="N381" s="1">
        <f t="shared" si="315"/>
        <v>186.303067975625</v>
      </c>
      <c r="O381" s="1">
        <f t="shared" si="315"/>
        <v>171.398822537575</v>
      </c>
      <c r="P381" s="1">
        <f t="shared" si="315"/>
        <v>159.40090495994474</v>
      </c>
      <c r="Q381" s="1">
        <f t="shared" si="315"/>
        <v>148.24284161274861</v>
      </c>
      <c r="R381" s="1">
        <f t="shared" si="315"/>
        <v>139.34827111598369</v>
      </c>
      <c r="S381" s="1">
        <f t="shared" si="315"/>
        <v>130.98737484902466</v>
      </c>
      <c r="T381" s="1">
        <f t="shared" si="315"/>
        <v>124.43800610657343</v>
      </c>
      <c r="U381" s="1">
        <f t="shared" si="315"/>
        <v>118.21610580124475</v>
      </c>
      <c r="X381" s="1">
        <f>X350/X375</f>
        <v>315.76923076923077</v>
      </c>
      <c r="Z381" s="1">
        <f>Z350/Z375</f>
        <v>291.1764705882353</v>
      </c>
      <c r="AB381" s="1">
        <f>AB350/AB375</f>
        <v>243.19290588838447</v>
      </c>
      <c r="AD381" s="1">
        <f>AD350/AD375</f>
        <v>154.13214297888302</v>
      </c>
    </row>
    <row r="382" spans="2:31">
      <c r="C382" s="44" t="s">
        <v>203</v>
      </c>
      <c r="F382" s="1">
        <f t="shared" si="310"/>
        <v>274.85714285714283</v>
      </c>
      <c r="G382" s="1">
        <f t="shared" si="310"/>
        <v>238.83720930232559</v>
      </c>
      <c r="H382" s="1">
        <f t="shared" si="310"/>
        <v>236.59574468085106</v>
      </c>
      <c r="I382" s="1">
        <f t="shared" si="310"/>
        <v>238.92899663798147</v>
      </c>
      <c r="J382" s="1">
        <f t="shared" si="310"/>
        <v>234.44913668720767</v>
      </c>
      <c r="K382" s="1">
        <f t="shared" si="310"/>
        <v>209.00021628794525</v>
      </c>
      <c r="L382" s="1">
        <f t="shared" si="315"/>
        <v>229.59671211305675</v>
      </c>
      <c r="M382" s="1">
        <f t="shared" si="315"/>
        <v>227.30074499192619</v>
      </c>
      <c r="N382" s="1">
        <f t="shared" si="315"/>
        <v>225.02773754200692</v>
      </c>
      <c r="O382" s="1">
        <f t="shared" si="315"/>
        <v>222.77746016658685</v>
      </c>
      <c r="P382" s="1">
        <f t="shared" si="315"/>
        <v>220.54968556492099</v>
      </c>
      <c r="Q382" s="1">
        <f t="shared" si="315"/>
        <v>220.54968556492099</v>
      </c>
      <c r="R382" s="1">
        <f t="shared" si="315"/>
        <v>220.54968556492099</v>
      </c>
      <c r="S382" s="1">
        <f t="shared" si="315"/>
        <v>220.54968556492099</v>
      </c>
      <c r="T382" s="1">
        <f t="shared" si="315"/>
        <v>220.54968556492099</v>
      </c>
      <c r="U382" s="1">
        <f t="shared" si="315"/>
        <v>220.54968556492099</v>
      </c>
      <c r="X382" s="1">
        <f>X351/X376</f>
        <v>241.06382978723403</v>
      </c>
      <c r="Z382" s="1">
        <f>Z351/Z376</f>
        <v>247.60869565217394</v>
      </c>
      <c r="AB382" s="1">
        <f>AB351/AB376</f>
        <v>237.8557069370145</v>
      </c>
      <c r="AD382" s="1">
        <f>AD351/AD376</f>
        <v>159.39506476436102</v>
      </c>
    </row>
    <row r="383" spans="2:31">
      <c r="C383" s="44" t="s">
        <v>204</v>
      </c>
      <c r="F383" s="1">
        <f t="shared" si="310"/>
        <v>147.95454545454544</v>
      </c>
      <c r="G383" s="1">
        <f t="shared" si="310"/>
        <v>148.54166666666669</v>
      </c>
      <c r="H383" s="1">
        <f t="shared" si="310"/>
        <v>197.49999999999997</v>
      </c>
      <c r="I383" s="1">
        <f t="shared" si="310"/>
        <v>180.25709393881331</v>
      </c>
      <c r="J383" s="1">
        <f t="shared" si="310"/>
        <v>188.37432837561511</v>
      </c>
      <c r="K383" s="1">
        <f t="shared" si="310"/>
        <v>161.57283662403935</v>
      </c>
      <c r="L383" s="1">
        <f t="shared" si="315"/>
        <v>168.40378647200609</v>
      </c>
      <c r="M383" s="1">
        <f t="shared" si="315"/>
        <v>193.664354442807</v>
      </c>
      <c r="N383" s="1">
        <f t="shared" si="315"/>
        <v>193.664354442807</v>
      </c>
      <c r="O383" s="1">
        <f t="shared" si="315"/>
        <v>193.664354442807</v>
      </c>
      <c r="P383" s="1">
        <f t="shared" si="315"/>
        <v>193.664354442807</v>
      </c>
      <c r="Q383" s="1">
        <f t="shared" si="315"/>
        <v>193.664354442807</v>
      </c>
      <c r="R383" s="1">
        <f t="shared" si="315"/>
        <v>193.664354442807</v>
      </c>
      <c r="S383" s="1">
        <f t="shared" si="315"/>
        <v>193.664354442807</v>
      </c>
      <c r="T383" s="1">
        <f t="shared" si="315"/>
        <v>193.664354442807</v>
      </c>
      <c r="U383" s="1">
        <f t="shared" si="315"/>
        <v>193.664354442807</v>
      </c>
      <c r="X383" s="1">
        <f>X352/X377</f>
        <v>164.09090909090907</v>
      </c>
      <c r="Z383" s="1">
        <f>Z352/Z377</f>
        <v>180</v>
      </c>
      <c r="AB383" s="1">
        <f>AB352/AB377</f>
        <v>185.61257624023591</v>
      </c>
      <c r="AD383" s="1">
        <f>AD352/AD377</f>
        <v>166.14031390958286</v>
      </c>
    </row>
    <row r="385" spans="2:31" s="8" customFormat="1">
      <c r="C385" s="47" t="s">
        <v>30</v>
      </c>
      <c r="G385" s="8">
        <f>G379/F379-1</f>
        <v>-8.3513560600150472E-2</v>
      </c>
      <c r="H385" s="8">
        <f>H379/G379-1</f>
        <v>-8.4249714167140333E-2</v>
      </c>
      <c r="I385" s="8">
        <f>I379/H379-1</f>
        <v>-0.12118551023336455</v>
      </c>
      <c r="J385" s="8">
        <f>J379/I379-1</f>
        <v>-9.131373376485008E-2</v>
      </c>
      <c r="K385" s="8">
        <f>K379/J379-1</f>
        <v>-0.13693056682603422</v>
      </c>
      <c r="Z385" s="8">
        <f>Z379/X379-1</f>
        <v>-6.6029089326324564E-2</v>
      </c>
      <c r="AB385" s="8">
        <f>AB379/Z379-1</f>
        <v>-0.12403501883083046</v>
      </c>
      <c r="AD385" s="8">
        <f>AD379/AB379-1</f>
        <v>-0.32947163507498134</v>
      </c>
    </row>
    <row r="386" spans="2:31" s="8" customFormat="1">
      <c r="C386" s="23" t="s">
        <v>199</v>
      </c>
      <c r="G386" s="8">
        <f t="shared" ref="G386:K389" si="316">G380/F380-1</f>
        <v>-5.4483167534092991E-2</v>
      </c>
      <c r="H386" s="8">
        <f t="shared" si="316"/>
        <v>-5.9131567028985477E-2</v>
      </c>
      <c r="I386" s="8">
        <f t="shared" si="316"/>
        <v>-0.19889876818203722</v>
      </c>
      <c r="J386" s="8">
        <f t="shared" si="316"/>
        <v>-9.6302174195197487E-2</v>
      </c>
      <c r="K386" s="8">
        <f t="shared" si="316"/>
        <v>-0.19068907853469597</v>
      </c>
      <c r="L386" s="9">
        <f>-K386-6%</f>
        <v>0.13068907853469597</v>
      </c>
      <c r="M386" s="9">
        <v>-0.05</v>
      </c>
      <c r="N386" s="9">
        <v>-0.08</v>
      </c>
      <c r="O386" s="9">
        <v>-7.0000000000000007E-2</v>
      </c>
      <c r="P386" s="9">
        <v>-0.06</v>
      </c>
      <c r="Q386" s="9">
        <v>-0.05</v>
      </c>
      <c r="R386" s="9">
        <v>-0.05</v>
      </c>
      <c r="S386" s="9">
        <v>-0.05</v>
      </c>
      <c r="T386" s="9">
        <v>-0.05</v>
      </c>
      <c r="U386" s="9">
        <v>-0.05</v>
      </c>
      <c r="Z386" s="8">
        <f t="shared" ref="Z386:Z389" si="317">Z380/X380-1</f>
        <v>-7.4116780817160111E-2</v>
      </c>
      <c r="AB386" s="8">
        <f t="shared" ref="AB386:AB389" si="318">AB380/Z380-1</f>
        <v>-0.17787685432274714</v>
      </c>
      <c r="AD386" s="8">
        <f t="shared" ref="AD386:AD389" si="319">AD380/AB380-1</f>
        <v>-0.34514391613856921</v>
      </c>
    </row>
    <row r="387" spans="2:31" s="8" customFormat="1">
      <c r="C387" s="23" t="s">
        <v>200</v>
      </c>
      <c r="G387" s="8">
        <f t="shared" si="316"/>
        <v>-9.4734307727169731E-2</v>
      </c>
      <c r="H387" s="8">
        <f t="shared" si="316"/>
        <v>-5.916021118073711E-2</v>
      </c>
      <c r="I387" s="8">
        <f t="shared" si="316"/>
        <v>-0.13398244526986236</v>
      </c>
      <c r="J387" s="8">
        <f t="shared" si="316"/>
        <v>-0.10117139121130403</v>
      </c>
      <c r="K387" s="8">
        <f t="shared" si="316"/>
        <v>-0.154578377923136</v>
      </c>
      <c r="L387" s="9">
        <f>-K387-6%</f>
        <v>9.4578377923136003E-2</v>
      </c>
      <c r="M387" s="9">
        <v>-0.08</v>
      </c>
      <c r="N387" s="9">
        <v>-0.08</v>
      </c>
      <c r="O387" s="9">
        <v>-0.08</v>
      </c>
      <c r="P387" s="9">
        <v>-7.0000000000000007E-2</v>
      </c>
      <c r="Q387" s="9">
        <v>-7.0000000000000007E-2</v>
      </c>
      <c r="R387" s="9">
        <v>-0.06</v>
      </c>
      <c r="S387" s="9">
        <v>-0.06</v>
      </c>
      <c r="T387" s="9">
        <v>-0.05</v>
      </c>
      <c r="U387" s="9">
        <v>-0.05</v>
      </c>
      <c r="Z387" s="8">
        <f t="shared" si="317"/>
        <v>-7.7882066346636081E-2</v>
      </c>
      <c r="AB387" s="8">
        <f t="shared" si="318"/>
        <v>-0.16479204038332607</v>
      </c>
      <c r="AD387" s="8">
        <f t="shared" si="319"/>
        <v>-0.36621447728568479</v>
      </c>
    </row>
    <row r="388" spans="2:31" s="8" customFormat="1">
      <c r="C388" s="23" t="s">
        <v>203</v>
      </c>
      <c r="G388" s="8">
        <f t="shared" si="316"/>
        <v>-0.13104965430546811</v>
      </c>
      <c r="H388" s="8">
        <f t="shared" si="316"/>
        <v>-9.3849054258426934E-3</v>
      </c>
      <c r="I388" s="8">
        <f t="shared" si="316"/>
        <v>9.8617663655691246E-3</v>
      </c>
      <c r="J388" s="8">
        <f t="shared" si="316"/>
        <v>-1.8749754168856936E-2</v>
      </c>
      <c r="K388" s="8">
        <f t="shared" si="316"/>
        <v>-0.10854772493027054</v>
      </c>
      <c r="L388" s="9">
        <f>-K388-1%</f>
        <v>9.8547724930270544E-2</v>
      </c>
      <c r="M388" s="9">
        <v>-0.01</v>
      </c>
      <c r="N388" s="9">
        <v>-0.01</v>
      </c>
      <c r="O388" s="9">
        <v>-0.01</v>
      </c>
      <c r="P388" s="9">
        <v>-0.01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Z388" s="8">
        <f t="shared" si="317"/>
        <v>2.7149929007252993E-2</v>
      </c>
      <c r="AB388" s="8">
        <f t="shared" si="318"/>
        <v>-3.9388716496693066E-2</v>
      </c>
      <c r="AD388" s="8">
        <f t="shared" si="319"/>
        <v>-0.32986655305870083</v>
      </c>
    </row>
    <row r="389" spans="2:31" s="8" customFormat="1">
      <c r="C389" s="23" t="s">
        <v>204</v>
      </c>
      <c r="G389" s="8">
        <f t="shared" si="316"/>
        <v>3.9682539682541762E-3</v>
      </c>
      <c r="H389" s="8">
        <f t="shared" si="316"/>
        <v>0.32959326788218757</v>
      </c>
      <c r="I389" s="8">
        <f t="shared" si="316"/>
        <v>-8.7305853474362816E-2</v>
      </c>
      <c r="J389" s="8">
        <f t="shared" si="316"/>
        <v>4.5031428497106063E-2</v>
      </c>
      <c r="K389" s="8">
        <f t="shared" si="316"/>
        <v>-0.14227783574699226</v>
      </c>
      <c r="L389" s="9">
        <f>-K389-10%</f>
        <v>4.2277835746992259E-2</v>
      </c>
      <c r="M389" s="9">
        <v>0.15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Z389" s="8">
        <f t="shared" si="317"/>
        <v>9.6952908587257802E-2</v>
      </c>
      <c r="AB389" s="8">
        <f t="shared" si="318"/>
        <v>3.1180979112421792E-2</v>
      </c>
      <c r="AD389" s="8">
        <f t="shared" si="319"/>
        <v>-0.10490809795910794</v>
      </c>
    </row>
    <row r="390" spans="2:31" s="8" customFormat="1"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</row>
    <row r="391" spans="2:31" s="6" customFormat="1">
      <c r="B391" s="6" t="s">
        <v>218</v>
      </c>
      <c r="F391" s="6">
        <f t="shared" ref="F391:I391" si="320">F393+F394+F395+F396</f>
        <v>5783.6110000000008</v>
      </c>
      <c r="G391" s="6">
        <f t="shared" si="320"/>
        <v>7662.8540000000012</v>
      </c>
      <c r="H391" s="6">
        <f t="shared" si="320"/>
        <v>10411.958999999999</v>
      </c>
      <c r="I391" s="6">
        <f t="shared" si="320"/>
        <v>16531.701000000001</v>
      </c>
      <c r="J391" s="6">
        <f>J393+J394+J395+J396</f>
        <v>25677.384000000002</v>
      </c>
      <c r="K391" s="6">
        <f>K393+K394+K395+K396</f>
        <v>27571.387999999999</v>
      </c>
      <c r="L391" s="6">
        <f t="shared" ref="L391:U391" si="321">L393+L394+L395+L396</f>
        <v>62320.107284050013</v>
      </c>
      <c r="M391" s="6">
        <f t="shared" si="321"/>
        <v>82212.727063681537</v>
      </c>
      <c r="N391" s="6">
        <f t="shared" si="321"/>
        <v>96503.070305818459</v>
      </c>
      <c r="O391" s="6">
        <f t="shared" si="321"/>
        <v>109232.9707287569</v>
      </c>
      <c r="P391" s="6">
        <f t="shared" si="321"/>
        <v>122148.4546357262</v>
      </c>
      <c r="Q391" s="6">
        <f t="shared" si="321"/>
        <v>136524.28679092196</v>
      </c>
      <c r="R391" s="6">
        <f t="shared" si="321"/>
        <v>149689.39019764261</v>
      </c>
      <c r="S391" s="6">
        <f t="shared" si="321"/>
        <v>161598.63514702741</v>
      </c>
      <c r="T391" s="6">
        <f t="shared" si="321"/>
        <v>173640.3165922297</v>
      </c>
      <c r="U391" s="6">
        <f t="shared" si="321"/>
        <v>186724.31367537021</v>
      </c>
      <c r="X391" s="6">
        <f t="shared" ref="X391:AC391" si="322">X393+X394+X395+X396</f>
        <v>4675.7299999999996</v>
      </c>
      <c r="Y391" s="6">
        <f t="shared" si="322"/>
        <v>5736.2289999999994</v>
      </c>
      <c r="Z391" s="6">
        <f t="shared" si="322"/>
        <v>7301.6680000000006</v>
      </c>
      <c r="AA391" s="6">
        <f t="shared" si="322"/>
        <v>9230.0329999999994</v>
      </c>
      <c r="AB391" s="6">
        <f t="shared" si="322"/>
        <v>11381.314</v>
      </c>
      <c r="AC391" s="6">
        <f t="shared" si="322"/>
        <v>14296.07</v>
      </c>
      <c r="AD391" s="6">
        <f>AD393+AD394+AD395+AD396</f>
        <v>9166.1159999999982</v>
      </c>
      <c r="AE391" s="6">
        <f>AE393+AE394+AE395+AE396</f>
        <v>18405.272000000001</v>
      </c>
    </row>
    <row r="392" spans="2:31" s="8" customFormat="1">
      <c r="C392" s="8" t="s">
        <v>30</v>
      </c>
      <c r="G392" s="8">
        <f t="shared" ref="G392:I392" si="323">G391/F391-1</f>
        <v>0.32492555256568956</v>
      </c>
      <c r="H392" s="8">
        <f t="shared" si="323"/>
        <v>0.35875732462082621</v>
      </c>
      <c r="I392" s="8">
        <f t="shared" si="323"/>
        <v>0.58776086229306146</v>
      </c>
      <c r="J392" s="8">
        <f>J391/I391-1</f>
        <v>0.55322092989705052</v>
      </c>
      <c r="K392" s="8">
        <f t="shared" ref="K392:R392" si="324">K391/J391-1</f>
        <v>7.3761563872705826E-2</v>
      </c>
      <c r="L392" s="8">
        <f t="shared" si="324"/>
        <v>1.2603180980243001</v>
      </c>
      <c r="M392" s="8">
        <f t="shared" si="324"/>
        <v>0.31920066647129741</v>
      </c>
      <c r="N392" s="8">
        <f t="shared" si="324"/>
        <v>0.1738215450640348</v>
      </c>
      <c r="O392" s="8">
        <f t="shared" si="324"/>
        <v>0.13191186956640188</v>
      </c>
      <c r="P392" s="8">
        <f t="shared" si="324"/>
        <v>0.11823796259318553</v>
      </c>
      <c r="Q392" s="8">
        <f t="shared" si="324"/>
        <v>0.11769147794843327</v>
      </c>
      <c r="R392" s="8">
        <f t="shared" si="324"/>
        <v>9.6430486590874054E-2</v>
      </c>
      <c r="S392" s="8">
        <f>S391/R391-1</f>
        <v>7.955971317446342E-2</v>
      </c>
      <c r="T392" s="8">
        <f t="shared" ref="T392:U392" si="325">T391/S391-1</f>
        <v>7.4515984830233251E-2</v>
      </c>
      <c r="U392" s="8">
        <f t="shared" si="325"/>
        <v>7.535114735978321E-2</v>
      </c>
      <c r="Z392" s="8">
        <f>Z391/X391-1</f>
        <v>0.56161027262053231</v>
      </c>
      <c r="AA392" s="8">
        <f t="shared" ref="AA392:AE392" si="326">AA391/Y391-1</f>
        <v>0.60907679940950765</v>
      </c>
      <c r="AB392" s="8">
        <f t="shared" si="326"/>
        <v>0.55872795092847261</v>
      </c>
      <c r="AC392" s="8">
        <f t="shared" si="326"/>
        <v>0.54886445151387875</v>
      </c>
      <c r="AD392" s="8">
        <f t="shared" si="326"/>
        <v>-0.19463464411929954</v>
      </c>
      <c r="AE392" s="8">
        <f t="shared" si="326"/>
        <v>0.28743577780466945</v>
      </c>
    </row>
    <row r="393" spans="2:31">
      <c r="C393" s="1" t="s">
        <v>199</v>
      </c>
      <c r="F393" s="2">
        <v>2316.797</v>
      </c>
      <c r="G393" s="2">
        <v>2713.7530000000002</v>
      </c>
      <c r="H393" s="2">
        <v>2959.223</v>
      </c>
      <c r="I393" s="2">
        <v>4035.65</v>
      </c>
      <c r="J393" s="2">
        <v>6481.625</v>
      </c>
      <c r="K393" s="2">
        <v>5930.5870000000004</v>
      </c>
      <c r="L393" s="1">
        <f t="shared" ref="L393:U396" si="327">L315*L327</f>
        <v>11754.106233067976</v>
      </c>
      <c r="M393" s="1">
        <f t="shared" si="327"/>
        <v>14010.953515331215</v>
      </c>
      <c r="N393" s="1">
        <f t="shared" si="327"/>
        <v>14845.187341900377</v>
      </c>
      <c r="O393" s="1">
        <f t="shared" si="327"/>
        <v>15463.90779980739</v>
      </c>
      <c r="P393" s="1">
        <f t="shared" si="327"/>
        <v>15997.166753752561</v>
      </c>
      <c r="Q393" s="1">
        <f t="shared" si="327"/>
        <v>16656.507995899043</v>
      </c>
      <c r="R393" s="1">
        <f t="shared" si="327"/>
        <v>17157.539530175931</v>
      </c>
      <c r="S393" s="1">
        <f t="shared" si="327"/>
        <v>17553.608707073305</v>
      </c>
      <c r="T393" s="1">
        <f t="shared" si="327"/>
        <v>17842.9312352864</v>
      </c>
      <c r="U393" s="1">
        <f t="shared" si="327"/>
        <v>18169.598832725282</v>
      </c>
      <c r="X393" s="2">
        <v>1427.0809999999999</v>
      </c>
      <c r="Y393" s="1">
        <f t="shared" ref="Y393:Y396" si="328">H393-X393</f>
        <v>1532.1420000000001</v>
      </c>
      <c r="Z393" s="2">
        <v>1800.232</v>
      </c>
      <c r="AA393" s="1">
        <f t="shared" ref="AA393:AA396" si="329">I393-Z393</f>
        <v>2235.4180000000001</v>
      </c>
      <c r="AB393" s="2">
        <v>2864.8380000000002</v>
      </c>
      <c r="AC393" s="1">
        <f t="shared" ref="AC393:AC396" si="330">J393-AB393</f>
        <v>3616.7869999999998</v>
      </c>
      <c r="AD393" s="2">
        <v>2019.3030000000001</v>
      </c>
      <c r="AE393" s="1">
        <f>K393-AD393</f>
        <v>3911.2840000000006</v>
      </c>
    </row>
    <row r="394" spans="2:31">
      <c r="C394" s="1" t="s">
        <v>200</v>
      </c>
      <c r="F394" s="2">
        <v>2879.5630000000001</v>
      </c>
      <c r="G394" s="2">
        <v>3776.36</v>
      </c>
      <c r="H394" s="2">
        <v>5230.9809999999998</v>
      </c>
      <c r="I394" s="2">
        <v>7794.8450000000003</v>
      </c>
      <c r="J394" s="2">
        <v>11142.724</v>
      </c>
      <c r="K394" s="2">
        <v>11271.932000000001</v>
      </c>
      <c r="L394" s="1">
        <f t="shared" si="327"/>
        <v>23618.682466383816</v>
      </c>
      <c r="M394" s="1">
        <f t="shared" si="327"/>
        <v>29356.821014465382</v>
      </c>
      <c r="N394" s="1">
        <f t="shared" si="327"/>
        <v>32941.715341652409</v>
      </c>
      <c r="O394" s="1">
        <f t="shared" si="327"/>
        <v>35595.99407023035</v>
      </c>
      <c r="P394" s="1">
        <f t="shared" si="327"/>
        <v>38183.935279021789</v>
      </c>
      <c r="Q394" s="1">
        <f t="shared" si="327"/>
        <v>40654.79335040212</v>
      </c>
      <c r="R394" s="1">
        <f t="shared" si="327"/>
        <v>42777.367168357385</v>
      </c>
      <c r="S394" s="1">
        <f t="shared" si="327"/>
        <v>44312.463718123414</v>
      </c>
      <c r="T394" s="1">
        <f t="shared" si="327"/>
        <v>46004.865137795357</v>
      </c>
      <c r="U394" s="1">
        <f t="shared" si="327"/>
        <v>47768.451932946708</v>
      </c>
      <c r="X394" s="2">
        <v>2339.596</v>
      </c>
      <c r="Y394" s="1">
        <f t="shared" si="328"/>
        <v>2891.3849999999998</v>
      </c>
      <c r="Z394" s="2">
        <v>3567.6889999999999</v>
      </c>
      <c r="AA394" s="1">
        <f t="shared" si="329"/>
        <v>4227.1560000000009</v>
      </c>
      <c r="AB394" s="2">
        <v>5024.3810000000003</v>
      </c>
      <c r="AC394" s="1">
        <f t="shared" si="330"/>
        <v>6118.3429999999998</v>
      </c>
      <c r="AD394" s="2">
        <v>3801.3879999999999</v>
      </c>
      <c r="AE394" s="1">
        <f t="shared" ref="AE394:AE398" si="331">K394-AD394</f>
        <v>7470.5440000000008</v>
      </c>
    </row>
    <row r="395" spans="2:31">
      <c r="C395" s="1" t="s">
        <v>203</v>
      </c>
      <c r="F395" s="2">
        <v>310.178</v>
      </c>
      <c r="G395" s="2">
        <v>733.596</v>
      </c>
      <c r="H395" s="2">
        <v>1518.374</v>
      </c>
      <c r="I395" s="2">
        <v>3378.6610000000001</v>
      </c>
      <c r="J395" s="2">
        <v>5779.0309999999999</v>
      </c>
      <c r="K395" s="2">
        <v>8142.7079999999996</v>
      </c>
      <c r="L395" s="1">
        <f t="shared" si="327"/>
        <v>22573.829391347219</v>
      </c>
      <c r="M395" s="1">
        <f t="shared" si="327"/>
        <v>31692.35170756072</v>
      </c>
      <c r="N395" s="1">
        <f t="shared" si="327"/>
        <v>40384.763159756862</v>
      </c>
      <c r="O395" s="1">
        <f t="shared" si="327"/>
        <v>48700.504947703477</v>
      </c>
      <c r="P395" s="1">
        <f t="shared" si="327"/>
        <v>57337.528389374173</v>
      </c>
      <c r="Q395" s="1">
        <f t="shared" si="327"/>
        <v>67328.771878760599</v>
      </c>
      <c r="R395" s="1">
        <f t="shared" si="327"/>
        <v>76693.299460547671</v>
      </c>
      <c r="S395" s="1">
        <f t="shared" si="327"/>
        <v>85545.347316038911</v>
      </c>
      <c r="T395" s="1">
        <f t="shared" si="327"/>
        <v>94496.690369965421</v>
      </c>
      <c r="U395" s="1">
        <f t="shared" si="327"/>
        <v>104280.07117495134</v>
      </c>
      <c r="X395" s="2">
        <v>636.38900000000001</v>
      </c>
      <c r="Y395" s="1">
        <f t="shared" si="328"/>
        <v>881.98500000000001</v>
      </c>
      <c r="Z395" s="2">
        <v>1401.431</v>
      </c>
      <c r="AA395" s="1">
        <f t="shared" si="329"/>
        <v>1977.23</v>
      </c>
      <c r="AB395" s="2">
        <v>2532.0500000000002</v>
      </c>
      <c r="AC395" s="1">
        <f t="shared" si="330"/>
        <v>3246.9809999999998</v>
      </c>
      <c r="AD395" s="2">
        <v>2450.5720000000001</v>
      </c>
      <c r="AE395" s="1">
        <f t="shared" si="331"/>
        <v>5692.1359999999995</v>
      </c>
    </row>
    <row r="396" spans="2:31">
      <c r="C396" s="1" t="s">
        <v>204</v>
      </c>
      <c r="F396" s="2">
        <v>277.07299999999998</v>
      </c>
      <c r="G396" s="2">
        <v>439.14499999999998</v>
      </c>
      <c r="H396" s="2">
        <v>703.38099999999997</v>
      </c>
      <c r="I396" s="2">
        <v>1322.5450000000001</v>
      </c>
      <c r="J396" s="2">
        <v>2274.0039999999999</v>
      </c>
      <c r="K396" s="2">
        <v>2226.1610000000001</v>
      </c>
      <c r="L396" s="1">
        <f t="shared" si="327"/>
        <v>4373.4891932510109</v>
      </c>
      <c r="M396" s="1">
        <f t="shared" si="327"/>
        <v>7152.6008263242265</v>
      </c>
      <c r="N396" s="1">
        <f t="shared" si="327"/>
        <v>8331.4044625088136</v>
      </c>
      <c r="O396" s="1">
        <f t="shared" si="327"/>
        <v>9472.5639110156808</v>
      </c>
      <c r="P396" s="1">
        <f t="shared" si="327"/>
        <v>10629.82421357768</v>
      </c>
      <c r="Q396" s="1">
        <f t="shared" si="327"/>
        <v>11884.213565860204</v>
      </c>
      <c r="R396" s="1">
        <f t="shared" si="327"/>
        <v>13061.184038561616</v>
      </c>
      <c r="S396" s="1">
        <f t="shared" si="327"/>
        <v>14187.215405791792</v>
      </c>
      <c r="T396" s="1">
        <f t="shared" si="327"/>
        <v>15295.829849182512</v>
      </c>
      <c r="U396" s="1">
        <f t="shared" si="327"/>
        <v>16506.191734746877</v>
      </c>
      <c r="X396" s="2">
        <v>272.66399999999999</v>
      </c>
      <c r="Y396" s="1">
        <f t="shared" si="328"/>
        <v>430.71699999999998</v>
      </c>
      <c r="Z396" s="2">
        <v>532.31600000000003</v>
      </c>
      <c r="AA396" s="1">
        <f t="shared" si="329"/>
        <v>790.22900000000004</v>
      </c>
      <c r="AB396" s="2">
        <v>960.04499999999996</v>
      </c>
      <c r="AC396" s="1">
        <f t="shared" si="330"/>
        <v>1313.9589999999998</v>
      </c>
      <c r="AD396" s="2">
        <v>894.85299999999995</v>
      </c>
      <c r="AE396" s="1">
        <f t="shared" si="331"/>
        <v>1331.308</v>
      </c>
    </row>
    <row r="398" spans="2:31">
      <c r="B398" s="1" t="s">
        <v>219</v>
      </c>
      <c r="F398" s="2">
        <v>-130.52199999999999</v>
      </c>
      <c r="G398" s="2">
        <v>-27.257999999999999</v>
      </c>
      <c r="H398" s="2">
        <v>-23.861999999999998</v>
      </c>
      <c r="I398" s="2">
        <v>-40.478000000000002</v>
      </c>
      <c r="J398" s="2">
        <v>-88.861000000000004</v>
      </c>
      <c r="K398" s="2">
        <v>-137.696</v>
      </c>
      <c r="L398" s="1">
        <f t="shared" ref="L398:U398" si="332">L399*L391</f>
        <v>-311.23676082555403</v>
      </c>
      <c r="M398" s="1">
        <f t="shared" si="332"/>
        <v>-410.5837423114387</v>
      </c>
      <c r="N398" s="1">
        <f t="shared" si="332"/>
        <v>-481.95204277818652</v>
      </c>
      <c r="O398" s="1">
        <f t="shared" si="332"/>
        <v>-545.52723778240363</v>
      </c>
      <c r="P398" s="1">
        <f t="shared" si="332"/>
        <v>-610.02926691688333</v>
      </c>
      <c r="Q398" s="1">
        <f t="shared" si="332"/>
        <v>-681.82451293213069</v>
      </c>
      <c r="R398" s="1">
        <f t="shared" si="332"/>
        <v>-747.57318248376168</v>
      </c>
      <c r="S398" s="1">
        <f t="shared" si="332"/>
        <v>-807.04989045909065</v>
      </c>
      <c r="T398" s="1">
        <f t="shared" si="332"/>
        <v>-867.18800785378164</v>
      </c>
      <c r="U398" s="1">
        <f t="shared" si="332"/>
        <v>-932.53161922220886</v>
      </c>
      <c r="X398" s="2">
        <v>-29.045999999999999</v>
      </c>
      <c r="Y398" s="1">
        <f t="shared" ref="Y398" si="333">H398-X398</f>
        <v>5.1840000000000011</v>
      </c>
      <c r="Z398" s="2">
        <v>-49.631</v>
      </c>
      <c r="AA398" s="1">
        <f t="shared" ref="AA398" si="334">I398-Z398</f>
        <v>9.1529999999999987</v>
      </c>
      <c r="AB398" s="2">
        <v>-49.902000000000001</v>
      </c>
      <c r="AC398" s="1">
        <f t="shared" ref="AC398" si="335">J398-AB398</f>
        <v>-38.959000000000003</v>
      </c>
      <c r="AD398" s="2">
        <v>-15.462999999999999</v>
      </c>
      <c r="AE398" s="1">
        <f t="shared" si="331"/>
        <v>-122.233</v>
      </c>
    </row>
    <row r="399" spans="2:31" s="8" customFormat="1">
      <c r="C399" s="8" t="s">
        <v>220</v>
      </c>
      <c r="F399" s="8">
        <f t="shared" ref="F399:I399" si="336">F398/F391</f>
        <v>-2.2567562030018959E-2</v>
      </c>
      <c r="G399" s="8">
        <f t="shared" si="336"/>
        <v>-3.557160295628756E-3</v>
      </c>
      <c r="H399" s="8">
        <f t="shared" si="336"/>
        <v>-2.2917877413846906E-3</v>
      </c>
      <c r="I399" s="8">
        <f t="shared" si="336"/>
        <v>-2.4485078698193246E-3</v>
      </c>
      <c r="J399" s="8">
        <f>J398/J391</f>
        <v>-3.4606718503722963E-3</v>
      </c>
      <c r="K399" s="8">
        <f>K398/K391</f>
        <v>-4.9941627893379907E-3</v>
      </c>
      <c r="L399" s="9">
        <f t="shared" ref="L399:U399" si="337">K399</f>
        <v>-4.9941627893379907E-3</v>
      </c>
      <c r="M399" s="9">
        <f t="shared" si="337"/>
        <v>-4.9941627893379907E-3</v>
      </c>
      <c r="N399" s="9">
        <f t="shared" si="337"/>
        <v>-4.9941627893379907E-3</v>
      </c>
      <c r="O399" s="9">
        <f t="shared" si="337"/>
        <v>-4.9941627893379907E-3</v>
      </c>
      <c r="P399" s="9">
        <f t="shared" si="337"/>
        <v>-4.9941627893379907E-3</v>
      </c>
      <c r="Q399" s="9">
        <f t="shared" si="337"/>
        <v>-4.9941627893379907E-3</v>
      </c>
      <c r="R399" s="9">
        <f t="shared" si="337"/>
        <v>-4.9941627893379907E-3</v>
      </c>
      <c r="S399" s="9">
        <f t="shared" si="337"/>
        <v>-4.9941627893379907E-3</v>
      </c>
      <c r="T399" s="9">
        <f t="shared" si="337"/>
        <v>-4.9941627893379907E-3</v>
      </c>
      <c r="U399" s="9">
        <f t="shared" si="337"/>
        <v>-4.9941627893379907E-3</v>
      </c>
      <c r="X399" s="8">
        <f>X398/X391</f>
        <v>-6.2120781140057278E-3</v>
      </c>
      <c r="Y399" s="8">
        <f t="shared" ref="Y399:AE399" si="338">Y398/Y391</f>
        <v>9.037296105158984E-4</v>
      </c>
      <c r="Z399" s="8">
        <f t="shared" si="338"/>
        <v>-6.7972140064434588E-3</v>
      </c>
      <c r="AA399" s="8">
        <f t="shared" si="338"/>
        <v>9.9165409267767501E-4</v>
      </c>
      <c r="AB399" s="8">
        <f t="shared" si="338"/>
        <v>-4.384555245554248E-3</v>
      </c>
      <c r="AC399" s="8">
        <f t="shared" si="338"/>
        <v>-2.7251545354772329E-3</v>
      </c>
      <c r="AD399" s="8">
        <f t="shared" si="338"/>
        <v>-1.6869740684058551E-3</v>
      </c>
      <c r="AE399" s="8">
        <f t="shared" si="338"/>
        <v>-6.6411949793515682E-3</v>
      </c>
    </row>
    <row r="401" spans="2:31" s="6" customFormat="1">
      <c r="B401" s="6" t="s">
        <v>221</v>
      </c>
      <c r="F401" s="6">
        <f t="shared" ref="F401:I401" si="339">F391+F398</f>
        <v>5653.0890000000009</v>
      </c>
      <c r="G401" s="6">
        <f t="shared" si="339"/>
        <v>7635.5960000000014</v>
      </c>
      <c r="H401" s="6">
        <f t="shared" si="339"/>
        <v>10388.097</v>
      </c>
      <c r="I401" s="6">
        <f t="shared" si="339"/>
        <v>16491.223000000002</v>
      </c>
      <c r="J401" s="6">
        <f>J391+J398</f>
        <v>25588.523000000001</v>
      </c>
      <c r="K401" s="6">
        <f>K391+K398</f>
        <v>27433.691999999999</v>
      </c>
      <c r="L401" s="6">
        <f t="shared" ref="L401:U401" si="340">L391+L398</f>
        <v>62008.870523224461</v>
      </c>
      <c r="M401" s="6">
        <f t="shared" si="340"/>
        <v>81802.143321370095</v>
      </c>
      <c r="N401" s="6">
        <f t="shared" si="340"/>
        <v>96021.118263040276</v>
      </c>
      <c r="O401" s="6">
        <f t="shared" si="340"/>
        <v>108687.4434909745</v>
      </c>
      <c r="P401" s="6">
        <f t="shared" si="340"/>
        <v>121538.42536880932</v>
      </c>
      <c r="Q401" s="6">
        <f t="shared" si="340"/>
        <v>135842.46227798983</v>
      </c>
      <c r="R401" s="6">
        <f t="shared" si="340"/>
        <v>148941.81701515886</v>
      </c>
      <c r="S401" s="6">
        <f t="shared" si="340"/>
        <v>160791.58525656833</v>
      </c>
      <c r="T401" s="6">
        <f t="shared" si="340"/>
        <v>172773.12858437593</v>
      </c>
      <c r="U401" s="6">
        <f t="shared" si="340"/>
        <v>185791.78205614802</v>
      </c>
      <c r="X401" s="6">
        <f t="shared" ref="X401:AA401" si="341">X391+X398</f>
        <v>4646.6839999999993</v>
      </c>
      <c r="Y401" s="6">
        <f t="shared" si="341"/>
        <v>5741.4129999999996</v>
      </c>
      <c r="Z401" s="6">
        <f t="shared" si="341"/>
        <v>7252.0370000000003</v>
      </c>
      <c r="AA401" s="6">
        <f t="shared" si="341"/>
        <v>9239.1859999999997</v>
      </c>
      <c r="AB401" s="6">
        <f>AB391+AB398</f>
        <v>11331.412</v>
      </c>
      <c r="AC401" s="6">
        <f t="shared" ref="AC401:AE401" si="342">AC391+AC398</f>
        <v>14257.110999999999</v>
      </c>
      <c r="AD401" s="6">
        <f t="shared" si="342"/>
        <v>9150.6529999999984</v>
      </c>
      <c r="AE401" s="6">
        <f t="shared" si="342"/>
        <v>18283.039000000001</v>
      </c>
    </row>
    <row r="402" spans="2:31" s="8" customFormat="1">
      <c r="C402" s="8" t="s">
        <v>30</v>
      </c>
      <c r="G402" s="8">
        <f t="shared" ref="G402:I402" si="343">G401/F401-1</f>
        <v>0.35069446102829804</v>
      </c>
      <c r="H402" s="8">
        <f t="shared" si="343"/>
        <v>0.36048279662779414</v>
      </c>
      <c r="I402" s="8">
        <f t="shared" si="343"/>
        <v>0.58751145662193971</v>
      </c>
      <c r="J402" s="8">
        <f>J401/I401-1</f>
        <v>0.55164495683552395</v>
      </c>
      <c r="K402" s="8">
        <f t="shared" ref="K402:R402" si="344">K401/J401-1</f>
        <v>7.2109242100452553E-2</v>
      </c>
      <c r="L402" s="8">
        <f t="shared" si="344"/>
        <v>1.2603180980243005</v>
      </c>
      <c r="M402" s="8">
        <f t="shared" si="344"/>
        <v>0.31920066647129741</v>
      </c>
      <c r="N402" s="8">
        <f t="shared" si="344"/>
        <v>0.17382154506403502</v>
      </c>
      <c r="O402" s="8">
        <f t="shared" si="344"/>
        <v>0.13191186956640188</v>
      </c>
      <c r="P402" s="8">
        <f t="shared" si="344"/>
        <v>0.11823796259318553</v>
      </c>
      <c r="Q402" s="8">
        <f t="shared" si="344"/>
        <v>0.11769147794843327</v>
      </c>
      <c r="R402" s="8">
        <f t="shared" si="344"/>
        <v>9.6430486590874054E-2</v>
      </c>
      <c r="S402" s="8">
        <f>S401/R401-1</f>
        <v>7.9559713174463642E-2</v>
      </c>
      <c r="T402" s="8">
        <f t="shared" ref="T402:U402" si="345">T401/S401-1</f>
        <v>7.4515984830233251E-2</v>
      </c>
      <c r="U402" s="8">
        <f t="shared" si="345"/>
        <v>7.535114735978321E-2</v>
      </c>
      <c r="Z402" s="8">
        <f>Z401/X401-1</f>
        <v>0.5606908066053129</v>
      </c>
      <c r="AA402" s="8">
        <f t="shared" ref="AA402:AE402" si="346">AA401/Y401-1</f>
        <v>0.60921814891212334</v>
      </c>
      <c r="AB402" s="8">
        <f t="shared" si="346"/>
        <v>0.56251436665312093</v>
      </c>
      <c r="AC402" s="8">
        <f t="shared" si="346"/>
        <v>0.54311332188788053</v>
      </c>
      <c r="AD402" s="8">
        <f t="shared" si="346"/>
        <v>-0.19245253813028784</v>
      </c>
      <c r="AE402" s="8">
        <f t="shared" si="346"/>
        <v>0.28238035040899945</v>
      </c>
    </row>
    <row r="403" spans="2:31" s="26" customFormat="1">
      <c r="C403" s="26" t="s">
        <v>152</v>
      </c>
      <c r="F403" s="26">
        <f>F401-F8</f>
        <v>0</v>
      </c>
      <c r="G403" s="26">
        <f>G401-G8</f>
        <v>0</v>
      </c>
      <c r="H403" s="26">
        <f>H401-H8</f>
        <v>0</v>
      </c>
      <c r="I403" s="26">
        <f>I401-I8</f>
        <v>0</v>
      </c>
      <c r="J403" s="26">
        <f>J401-J8</f>
        <v>0</v>
      </c>
      <c r="K403" s="26">
        <f>K401-K8</f>
        <v>0</v>
      </c>
      <c r="X403" s="26">
        <f>X401-X8</f>
        <v>0</v>
      </c>
      <c r="Y403" s="26">
        <f>Y401-Y8</f>
        <v>0</v>
      </c>
      <c r="Z403" s="48">
        <f>Z401-Z8</f>
        <v>100</v>
      </c>
      <c r="AA403" s="48">
        <f>AA401-AA8</f>
        <v>-100.00000000000182</v>
      </c>
      <c r="AB403" s="26">
        <f>AB401-AB8</f>
        <v>0</v>
      </c>
      <c r="AC403" s="26">
        <f>AC401-AC8</f>
        <v>0</v>
      </c>
      <c r="AD403" s="26">
        <f>AD401-AD8</f>
        <v>0</v>
      </c>
      <c r="AE403" s="26">
        <f>AE401-AE8</f>
        <v>0</v>
      </c>
    </row>
    <row r="406" spans="2:31" s="6" customFormat="1">
      <c r="B406" s="6" t="s">
        <v>222</v>
      </c>
      <c r="F406" s="6">
        <f>F407+F408+F409+F410</f>
        <v>1190.105</v>
      </c>
      <c r="G406" s="6">
        <f t="shared" ref="G406:H406" si="347">G407+G408+G409+G410</f>
        <v>1982.2250000000001</v>
      </c>
      <c r="H406" s="6">
        <f t="shared" si="347"/>
        <v>2338.2739999999999</v>
      </c>
      <c r="I406" s="6">
        <f>I391*I412-I398</f>
        <v>3545.1986120000001</v>
      </c>
      <c r="J406" s="6">
        <f>J391*J412-J398</f>
        <v>5532.4664080000002</v>
      </c>
      <c r="X406" s="6">
        <f>X407+X408+X409+X410</f>
        <v>1081.463</v>
      </c>
      <c r="Y406" s="6">
        <f t="shared" ref="Y406:Z406" si="348">Y407+Y408+Y409+Y410</f>
        <v>1256.8109999999999</v>
      </c>
      <c r="Z406" s="6">
        <f t="shared" si="348"/>
        <v>1472.81</v>
      </c>
    </row>
    <row r="407" spans="2:31">
      <c r="C407" s="1" t="s">
        <v>199</v>
      </c>
      <c r="F407" s="2">
        <v>524.94299999999998</v>
      </c>
      <c r="G407" s="2">
        <v>758.22299999999996</v>
      </c>
      <c r="H407" s="2">
        <v>653.58500000000004</v>
      </c>
      <c r="I407" s="2"/>
      <c r="J407" s="2"/>
      <c r="X407" s="2">
        <v>342.80399999999997</v>
      </c>
      <c r="Y407" s="1">
        <f t="shared" ref="Y407:Y410" si="349">H407-X407</f>
        <v>310.78100000000006</v>
      </c>
      <c r="Z407" s="2">
        <v>367.30500000000001</v>
      </c>
    </row>
    <row r="408" spans="2:31">
      <c r="C408" s="1" t="s">
        <v>200</v>
      </c>
      <c r="F408" s="2">
        <v>568.99900000000002</v>
      </c>
      <c r="G408" s="2">
        <v>969.43100000000004</v>
      </c>
      <c r="H408" s="2">
        <v>1248.1289999999999</v>
      </c>
      <c r="I408" s="2"/>
      <c r="J408" s="2"/>
      <c r="X408" s="2">
        <v>562.05399999999997</v>
      </c>
      <c r="Y408" s="1">
        <f t="shared" si="349"/>
        <v>686.07499999999993</v>
      </c>
      <c r="Z408" s="2">
        <v>774.75300000000004</v>
      </c>
    </row>
    <row r="409" spans="2:31">
      <c r="C409" s="1" t="s">
        <v>203</v>
      </c>
      <c r="F409" s="2">
        <v>44.22</v>
      </c>
      <c r="G409" s="2">
        <v>154.517</v>
      </c>
      <c r="H409" s="2">
        <v>308.52699999999999</v>
      </c>
      <c r="I409" s="2"/>
      <c r="J409" s="2"/>
      <c r="X409" s="2">
        <v>130.256</v>
      </c>
      <c r="Y409" s="1">
        <f t="shared" si="349"/>
        <v>178.27099999999999</v>
      </c>
      <c r="Z409" s="2">
        <v>276.32</v>
      </c>
    </row>
    <row r="410" spans="2:31">
      <c r="C410" s="1" t="s">
        <v>204</v>
      </c>
      <c r="F410" s="2">
        <v>51.942999999999998</v>
      </c>
      <c r="G410" s="2">
        <v>100.054</v>
      </c>
      <c r="H410" s="2">
        <v>128.03299999999999</v>
      </c>
      <c r="I410" s="2"/>
      <c r="J410" s="2"/>
      <c r="X410" s="2">
        <v>46.348999999999997</v>
      </c>
      <c r="Y410" s="1">
        <f t="shared" si="349"/>
        <v>81.683999999999997</v>
      </c>
      <c r="Z410" s="2">
        <v>54.432000000000002</v>
      </c>
    </row>
    <row r="412" spans="2:31" s="49" customFormat="1" ht="19">
      <c r="C412" s="50" t="s">
        <v>223</v>
      </c>
      <c r="F412" s="51">
        <f>(F406+F398)/F391</f>
        <v>0.18320440292405557</v>
      </c>
      <c r="G412" s="51">
        <f t="shared" ref="G412:H412" si="350">(G406+G398)/G391</f>
        <v>0.25512256921507309</v>
      </c>
      <c r="H412" s="51">
        <f t="shared" si="350"/>
        <v>0.22228401014640953</v>
      </c>
      <c r="I412" s="52">
        <v>0.21199999999999999</v>
      </c>
      <c r="J412" s="52">
        <v>0.21199999999999999</v>
      </c>
      <c r="X412" s="51">
        <f>X406/X391</f>
        <v>0.23129286763778065</v>
      </c>
      <c r="Y412" s="51">
        <f>Y406/Y391</f>
        <v>0.21910056240781184</v>
      </c>
      <c r="Z412" s="51">
        <f>Z406/Z391</f>
        <v>0.20170870546291611</v>
      </c>
    </row>
    <row r="413" spans="2:31" s="10" customFormat="1">
      <c r="C413" s="10" t="s">
        <v>199</v>
      </c>
      <c r="F413" s="12">
        <f t="shared" ref="F413:H416" si="351">F407/F393</f>
        <v>0.22658135348068906</v>
      </c>
      <c r="G413" s="12">
        <f t="shared" si="351"/>
        <v>0.27940015174557148</v>
      </c>
      <c r="H413" s="12">
        <f t="shared" si="351"/>
        <v>0.22086371996973531</v>
      </c>
      <c r="I413" s="12"/>
      <c r="J413" s="12"/>
      <c r="X413" s="12">
        <f t="shared" ref="X413:Z416" si="352">X407/X393</f>
        <v>0.2402134146555101</v>
      </c>
      <c r="Y413" s="12">
        <f t="shared" si="352"/>
        <v>0.2028408593981498</v>
      </c>
      <c r="Z413" s="12">
        <f t="shared" si="352"/>
        <v>0.20403203587093219</v>
      </c>
    </row>
    <row r="414" spans="2:31" s="10" customFormat="1">
      <c r="C414" s="10" t="s">
        <v>200</v>
      </c>
      <c r="F414" s="12">
        <f t="shared" si="351"/>
        <v>0.19759908013820152</v>
      </c>
      <c r="G414" s="12">
        <f t="shared" si="351"/>
        <v>0.25671043014966793</v>
      </c>
      <c r="H414" s="12">
        <f t="shared" si="351"/>
        <v>0.23860323713659062</v>
      </c>
      <c r="I414" s="12"/>
      <c r="J414" s="12"/>
      <c r="X414" s="12">
        <f t="shared" si="352"/>
        <v>0.24023549364933089</v>
      </c>
      <c r="Y414" s="12">
        <f t="shared" si="352"/>
        <v>0.23728247881205719</v>
      </c>
      <c r="Z414" s="12">
        <f t="shared" si="352"/>
        <v>0.21715822203112436</v>
      </c>
    </row>
    <row r="415" spans="2:31" s="10" customFormat="1">
      <c r="C415" s="10" t="s">
        <v>203</v>
      </c>
      <c r="F415" s="12">
        <f t="shared" si="351"/>
        <v>0.14256330236186962</v>
      </c>
      <c r="G415" s="12">
        <f t="shared" si="351"/>
        <v>0.21062955632255356</v>
      </c>
      <c r="H415" s="12">
        <f t="shared" si="351"/>
        <v>0.20319565535237036</v>
      </c>
      <c r="I415" s="12"/>
      <c r="J415" s="12"/>
      <c r="X415" s="12">
        <f t="shared" si="352"/>
        <v>0.20467984204629558</v>
      </c>
      <c r="Y415" s="12">
        <f t="shared" si="352"/>
        <v>0.20212475268853777</v>
      </c>
      <c r="Z415" s="12">
        <f t="shared" si="352"/>
        <v>0.19716989277388611</v>
      </c>
    </row>
    <row r="416" spans="2:31" s="10" customFormat="1">
      <c r="C416" s="10" t="s">
        <v>204</v>
      </c>
      <c r="F416" s="12">
        <f t="shared" si="351"/>
        <v>0.18747045002580548</v>
      </c>
      <c r="G416" s="12">
        <f t="shared" si="351"/>
        <v>0.22783818556513227</v>
      </c>
      <c r="H416" s="12">
        <f t="shared" si="351"/>
        <v>0.18202510445974512</v>
      </c>
      <c r="I416" s="12"/>
      <c r="J416" s="12"/>
      <c r="X416" s="12">
        <f t="shared" si="352"/>
        <v>0.16998577003198076</v>
      </c>
      <c r="Y416" s="12">
        <f t="shared" si="352"/>
        <v>0.18964656607470798</v>
      </c>
      <c r="Z416" s="12">
        <f t="shared" si="352"/>
        <v>0.10225505151075677</v>
      </c>
    </row>
    <row r="420" spans="2:31" s="21" customFormat="1">
      <c r="B420" s="33" t="s">
        <v>224</v>
      </c>
      <c r="C420" s="33"/>
      <c r="D420" s="53" t="s">
        <v>225</v>
      </c>
      <c r="E420" s="33"/>
    </row>
    <row r="421" spans="2:31" s="6" customFormat="1">
      <c r="B421" s="6" t="s">
        <v>226</v>
      </c>
      <c r="G421" s="6">
        <f t="shared" ref="G421:I421" si="353">G422+G423+G424+G425</f>
        <v>102</v>
      </c>
      <c r="H421" s="6">
        <f t="shared" si="353"/>
        <v>125</v>
      </c>
      <c r="I421" s="6">
        <f t="shared" si="353"/>
        <v>145</v>
      </c>
      <c r="J421" s="6">
        <f>J422+J423+J424+J425</f>
        <v>233</v>
      </c>
      <c r="K421" s="6">
        <f>K422+K423+K424+K425</f>
        <v>399</v>
      </c>
      <c r="Z421" s="6">
        <f>Z422+Z423+Z424+Z425</f>
        <v>156</v>
      </c>
      <c r="AB421" s="6">
        <f>AB422+AB423+AB424+AB425</f>
        <v>245</v>
      </c>
      <c r="AD421" s="6">
        <f>AD422+AD423+AD424+AD425</f>
        <v>370</v>
      </c>
    </row>
    <row r="422" spans="2:31">
      <c r="C422" s="1" t="s">
        <v>199</v>
      </c>
      <c r="F422" s="2"/>
      <c r="G422" s="2">
        <v>42</v>
      </c>
      <c r="H422" s="2">
        <v>39</v>
      </c>
      <c r="I422" s="2">
        <v>39</v>
      </c>
      <c r="J422" s="2">
        <v>49</v>
      </c>
      <c r="K422" s="2">
        <v>90</v>
      </c>
      <c r="Z422" s="2">
        <v>45</v>
      </c>
      <c r="AB422" s="2">
        <v>53</v>
      </c>
      <c r="AC422" s="2"/>
      <c r="AD422" s="2">
        <v>65</v>
      </c>
      <c r="AE422" s="2"/>
    </row>
    <row r="423" spans="2:31">
      <c r="C423" s="1" t="s">
        <v>200</v>
      </c>
      <c r="F423" s="2"/>
      <c r="G423" s="2">
        <v>49</v>
      </c>
      <c r="H423" s="2">
        <v>62</v>
      </c>
      <c r="I423" s="2">
        <v>71</v>
      </c>
      <c r="J423" s="2">
        <v>110</v>
      </c>
      <c r="K423" s="2">
        <v>161</v>
      </c>
      <c r="Z423" s="2">
        <v>76</v>
      </c>
      <c r="AB423" s="2">
        <v>117</v>
      </c>
      <c r="AC423" s="2"/>
      <c r="AD423" s="2">
        <v>160</v>
      </c>
      <c r="AE423" s="2"/>
    </row>
    <row r="424" spans="2:31">
      <c r="C424" s="1" t="s">
        <v>203</v>
      </c>
      <c r="F424" s="2"/>
      <c r="G424" s="2">
        <v>7</v>
      </c>
      <c r="H424" s="2">
        <v>17</v>
      </c>
      <c r="I424" s="2">
        <v>26</v>
      </c>
      <c r="J424" s="2">
        <v>57</v>
      </c>
      <c r="K424" s="2">
        <v>113</v>
      </c>
      <c r="Z424" s="2">
        <v>27</v>
      </c>
      <c r="AB424" s="2">
        <v>58</v>
      </c>
      <c r="AC424" s="2"/>
      <c r="AD424" s="2">
        <v>110</v>
      </c>
      <c r="AE424" s="2"/>
    </row>
    <row r="425" spans="2:31">
      <c r="C425" s="1" t="s">
        <v>204</v>
      </c>
      <c r="F425" s="2"/>
      <c r="G425" s="2">
        <v>4</v>
      </c>
      <c r="H425" s="2">
        <v>7</v>
      </c>
      <c r="I425" s="2">
        <v>9</v>
      </c>
      <c r="J425" s="2">
        <v>17</v>
      </c>
      <c r="K425" s="2">
        <v>35</v>
      </c>
      <c r="Z425" s="2">
        <v>8</v>
      </c>
      <c r="AB425" s="2">
        <v>17</v>
      </c>
      <c r="AC425" s="2"/>
      <c r="AD425" s="2">
        <v>35</v>
      </c>
      <c r="AE425" s="2"/>
    </row>
    <row r="427" spans="2:31" ht="19">
      <c r="C427" s="40" t="s">
        <v>227</v>
      </c>
      <c r="G427" s="41">
        <f t="shared" ref="G427:K431" si="354">G421/G279</f>
        <v>0.57954545454545459</v>
      </c>
      <c r="H427" s="41">
        <f t="shared" si="354"/>
        <v>0.45787545787545786</v>
      </c>
      <c r="I427" s="41">
        <f t="shared" si="354"/>
        <v>0.31115879828326182</v>
      </c>
      <c r="J427" s="41">
        <f t="shared" si="354"/>
        <v>0.30338541666666669</v>
      </c>
      <c r="K427" s="41">
        <f t="shared" si="354"/>
        <v>0.30739599383667182</v>
      </c>
      <c r="Z427" s="41"/>
      <c r="AB427" s="41"/>
      <c r="AD427" s="41"/>
    </row>
    <row r="428" spans="2:31">
      <c r="C428" s="1" t="s">
        <v>199</v>
      </c>
      <c r="G428" s="41">
        <f t="shared" si="354"/>
        <v>0.76363636363636367</v>
      </c>
      <c r="H428" s="41">
        <f t="shared" si="354"/>
        <v>0.6</v>
      </c>
      <c r="I428" s="41">
        <f t="shared" si="354"/>
        <v>0.36792452830188677</v>
      </c>
      <c r="J428" s="41">
        <f t="shared" si="354"/>
        <v>0.25789473684210529</v>
      </c>
      <c r="K428" s="41">
        <f t="shared" si="354"/>
        <v>0.35294117647058826</v>
      </c>
      <c r="Z428" s="41"/>
      <c r="AB428" s="41"/>
      <c r="AD428" s="41"/>
    </row>
    <row r="429" spans="2:31">
      <c r="C429" s="1" t="s">
        <v>200</v>
      </c>
      <c r="G429" s="41">
        <f t="shared" si="354"/>
        <v>0.59036144578313254</v>
      </c>
      <c r="H429" s="41">
        <f t="shared" si="354"/>
        <v>0.51666666666666672</v>
      </c>
      <c r="I429" s="41">
        <f t="shared" si="354"/>
        <v>0.34299516908212563</v>
      </c>
      <c r="J429" s="41">
        <f t="shared" si="354"/>
        <v>0.33132530120481929</v>
      </c>
      <c r="K429" s="41">
        <f t="shared" si="354"/>
        <v>0.32264529058116231</v>
      </c>
      <c r="Z429" s="41"/>
      <c r="AB429" s="41"/>
      <c r="AD429" s="41"/>
    </row>
    <row r="430" spans="2:31">
      <c r="C430" s="1" t="s">
        <v>203</v>
      </c>
      <c r="G430" s="41">
        <f t="shared" si="354"/>
        <v>0.2413793103448276</v>
      </c>
      <c r="H430" s="41">
        <f t="shared" si="354"/>
        <v>0.24637681159420291</v>
      </c>
      <c r="I430" s="41">
        <f t="shared" si="354"/>
        <v>0.22222222222222221</v>
      </c>
      <c r="J430" s="41">
        <f t="shared" si="354"/>
        <v>0.29381443298969073</v>
      </c>
      <c r="K430" s="41">
        <f t="shared" si="354"/>
        <v>0.25055432372505543</v>
      </c>
      <c r="Z430" s="41"/>
      <c r="AB430" s="41"/>
      <c r="AD430" s="41"/>
    </row>
    <row r="431" spans="2:31">
      <c r="C431" s="1" t="s">
        <v>204</v>
      </c>
      <c r="G431" s="41">
        <f t="shared" si="354"/>
        <v>0.44444444444444442</v>
      </c>
      <c r="H431" s="41">
        <f t="shared" si="354"/>
        <v>0.36842105263157893</v>
      </c>
      <c r="I431" s="41">
        <f t="shared" si="354"/>
        <v>0.25</v>
      </c>
      <c r="J431" s="41">
        <f t="shared" si="354"/>
        <v>0.32692307692307693</v>
      </c>
      <c r="K431" s="41">
        <f t="shared" si="354"/>
        <v>0.37634408602150538</v>
      </c>
      <c r="Z431" s="41"/>
      <c r="AB431" s="41"/>
      <c r="AD431" s="41"/>
    </row>
    <row r="433" spans="2:30" s="6" customFormat="1" ht="19">
      <c r="B433" s="54" t="s">
        <v>228</v>
      </c>
    </row>
    <row r="434" spans="2:30">
      <c r="B434" s="1" t="s">
        <v>229</v>
      </c>
      <c r="G434" s="1">
        <f t="shared" ref="G434:I434" si="355">G435+G436+G437+G438</f>
        <v>5470.54</v>
      </c>
      <c r="H434" s="1">
        <f t="shared" si="355"/>
        <v>6846.6819999999998</v>
      </c>
      <c r="I434" s="1">
        <f t="shared" si="355"/>
        <v>8106.5259999999998</v>
      </c>
      <c r="J434" s="1">
        <f>J435+J436+J437+J438</f>
        <v>12065.689999999999</v>
      </c>
      <c r="K434" s="1">
        <f>K435+K436+K437+K438</f>
        <v>12137.932499999999</v>
      </c>
      <c r="Z434" s="1">
        <f>Z435+Z436+Z437+Z438</f>
        <v>4194.4769999999999</v>
      </c>
      <c r="AB434" s="1">
        <f>AB435+AB436+AB437+AB438</f>
        <v>6328.0459999999994</v>
      </c>
    </row>
    <row r="435" spans="2:30">
      <c r="C435" s="1" t="s">
        <v>199</v>
      </c>
      <c r="F435" s="2"/>
      <c r="G435" s="2">
        <v>2269.9699999999998</v>
      </c>
      <c r="H435" s="2">
        <v>2177.0100000000002</v>
      </c>
      <c r="I435" s="2">
        <v>2353.5810000000001</v>
      </c>
      <c r="J435" s="2">
        <v>2783.5450000000001</v>
      </c>
      <c r="K435" s="1">
        <f>K441*K447/1000</f>
        <v>2670.8850000000002</v>
      </c>
      <c r="Z435" s="2">
        <v>1303.6089999999999</v>
      </c>
      <c r="AB435" s="2">
        <v>1532.672</v>
      </c>
    </row>
    <row r="436" spans="2:30">
      <c r="C436" s="1" t="s">
        <v>200</v>
      </c>
      <c r="F436" s="2"/>
      <c r="G436" s="2">
        <v>2679.1109999999999</v>
      </c>
      <c r="H436" s="2">
        <v>3525.6729999999998</v>
      </c>
      <c r="I436" s="2">
        <v>4124.4459999999999</v>
      </c>
      <c r="J436" s="2">
        <v>5778.9170000000004</v>
      </c>
      <c r="K436" s="1">
        <f t="shared" ref="K436:K438" si="356">K442*K448/1000</f>
        <v>5281.6544999999996</v>
      </c>
      <c r="Z436" s="2">
        <v>2128.6109999999999</v>
      </c>
      <c r="AB436" s="2">
        <v>3085.558</v>
      </c>
    </row>
    <row r="437" spans="2:30">
      <c r="C437" s="1" t="s">
        <v>203</v>
      </c>
      <c r="F437" s="2"/>
      <c r="G437" s="2">
        <v>262.37599999999998</v>
      </c>
      <c r="H437" s="2">
        <v>680.14800000000002</v>
      </c>
      <c r="I437" s="2">
        <v>1113.1279999999999</v>
      </c>
      <c r="J437" s="2">
        <v>2463.8890000000001</v>
      </c>
      <c r="K437" s="1">
        <f t="shared" si="356"/>
        <v>3157.665</v>
      </c>
      <c r="Z437" s="2">
        <v>539.91999999999996</v>
      </c>
      <c r="AB437" s="2">
        <v>1233.4369999999999</v>
      </c>
    </row>
    <row r="438" spans="2:30">
      <c r="C438" s="1" t="s">
        <v>204</v>
      </c>
      <c r="F438" s="2"/>
      <c r="G438" s="2">
        <v>259.08300000000003</v>
      </c>
      <c r="H438" s="2">
        <v>463.851</v>
      </c>
      <c r="I438" s="2">
        <v>515.37099999999998</v>
      </c>
      <c r="J438" s="2">
        <v>1039.3389999999999</v>
      </c>
      <c r="K438" s="1">
        <f t="shared" si="356"/>
        <v>1027.7280000000001</v>
      </c>
      <c r="Z438" s="2">
        <v>222.33699999999999</v>
      </c>
      <c r="AB438" s="2">
        <v>476.37900000000002</v>
      </c>
    </row>
    <row r="440" spans="2:30">
      <c r="B440" s="1" t="s">
        <v>230</v>
      </c>
      <c r="G440" s="1">
        <f t="shared" ref="G440:I440" si="357">G434/G446*1000</f>
        <v>147.26707330130336</v>
      </c>
      <c r="H440" s="1">
        <f t="shared" si="357"/>
        <v>150.77410001267768</v>
      </c>
      <c r="I440" s="1">
        <f t="shared" si="357"/>
        <v>154.03611762784024</v>
      </c>
      <c r="J440" s="1">
        <f>J434/J446*1000</f>
        <v>142.6237424871376</v>
      </c>
      <c r="K440" s="1">
        <f>K434/K446*1000</f>
        <v>104.94857594936707</v>
      </c>
    </row>
    <row r="441" spans="2:30">
      <c r="C441" s="1" t="s">
        <v>199</v>
      </c>
      <c r="F441" s="2"/>
      <c r="G441" s="2">
        <v>148.19999999999999</v>
      </c>
      <c r="H441" s="2">
        <v>154.4</v>
      </c>
      <c r="I441" s="2">
        <v>165.8</v>
      </c>
      <c r="J441" s="2">
        <v>156.1</v>
      </c>
      <c r="K441" s="2">
        <v>105</v>
      </c>
      <c r="Z441" s="2">
        <v>160.9</v>
      </c>
      <c r="AB441" s="2">
        <v>161.5</v>
      </c>
      <c r="AD441" s="2">
        <v>97.3</v>
      </c>
    </row>
    <row r="442" spans="2:30">
      <c r="C442" s="1" t="s">
        <v>200</v>
      </c>
      <c r="F442" s="2"/>
      <c r="G442" s="2">
        <v>150.4</v>
      </c>
      <c r="H442" s="2">
        <v>156.19999999999999</v>
      </c>
      <c r="I442" s="2">
        <v>160</v>
      </c>
      <c r="J442" s="2">
        <v>144.9</v>
      </c>
      <c r="K442" s="2">
        <v>106.5</v>
      </c>
      <c r="Z442" s="2">
        <v>155.4</v>
      </c>
      <c r="AB442" s="2">
        <v>146.69999999999999</v>
      </c>
      <c r="AD442" s="2">
        <v>100.1</v>
      </c>
    </row>
    <row r="443" spans="2:30">
      <c r="C443" s="1" t="s">
        <v>203</v>
      </c>
      <c r="F443" s="2"/>
      <c r="G443" s="2">
        <v>102.6</v>
      </c>
      <c r="H443" s="2">
        <v>109.8</v>
      </c>
      <c r="I443" s="2">
        <v>117.8</v>
      </c>
      <c r="J443" s="2">
        <v>119</v>
      </c>
      <c r="K443" s="2">
        <v>101.5</v>
      </c>
      <c r="Z443" s="2">
        <v>111.3</v>
      </c>
      <c r="AB443" s="2">
        <v>117.9</v>
      </c>
      <c r="AD443" s="2">
        <v>96.1</v>
      </c>
    </row>
    <row r="444" spans="2:30">
      <c r="C444" s="1" t="s">
        <v>204</v>
      </c>
      <c r="F444" s="2"/>
      <c r="G444" s="2">
        <v>177.5</v>
      </c>
      <c r="H444" s="2">
        <v>182.3</v>
      </c>
      <c r="I444" s="2">
        <v>160.80000000000001</v>
      </c>
      <c r="J444" s="2">
        <v>168.2</v>
      </c>
      <c r="K444" s="2">
        <v>108</v>
      </c>
      <c r="Z444" s="2">
        <v>155.4</v>
      </c>
      <c r="AB444" s="2">
        <v>156</v>
      </c>
      <c r="AD444" s="2">
        <v>96.8</v>
      </c>
    </row>
    <row r="446" spans="2:30">
      <c r="B446" s="1" t="s">
        <v>231</v>
      </c>
      <c r="G446" s="1">
        <f t="shared" ref="G446:I446" si="358">G447+G448+G449+G450</f>
        <v>37147.068094491588</v>
      </c>
      <c r="H446" s="1">
        <f t="shared" si="358"/>
        <v>45410.19975860777</v>
      </c>
      <c r="I446" s="1">
        <f t="shared" si="358"/>
        <v>52627.436505416299</v>
      </c>
      <c r="J446" s="1">
        <f>J447+J448+J449+J450</f>
        <v>84598.046507495994</v>
      </c>
      <c r="K446" s="1">
        <f>K447+K448+K449+K450</f>
        <v>115656</v>
      </c>
    </row>
    <row r="447" spans="2:30">
      <c r="C447" s="1" t="s">
        <v>199</v>
      </c>
      <c r="G447" s="1">
        <f t="shared" ref="G447:J450" si="359">G435*1000/G441</f>
        <v>15316.936572199731</v>
      </c>
      <c r="H447" s="1">
        <f t="shared" si="359"/>
        <v>14099.805699481865</v>
      </c>
      <c r="I447" s="1">
        <f t="shared" si="359"/>
        <v>14195.301568154402</v>
      </c>
      <c r="J447" s="1">
        <f>J435*1000/J441</f>
        <v>17831.806534272902</v>
      </c>
      <c r="K447" s="3">
        <f>AVERAGE(J422:K422)*K$2</f>
        <v>25437</v>
      </c>
    </row>
    <row r="448" spans="2:30">
      <c r="C448" s="1" t="s">
        <v>200</v>
      </c>
      <c r="G448" s="1">
        <f t="shared" si="359"/>
        <v>17813.238031914894</v>
      </c>
      <c r="H448" s="1">
        <f t="shared" si="359"/>
        <v>22571.530089628683</v>
      </c>
      <c r="I448" s="1">
        <f t="shared" si="359"/>
        <v>25777.787499999999</v>
      </c>
      <c r="J448" s="1">
        <f t="shared" si="359"/>
        <v>39882.104899930986</v>
      </c>
      <c r="K448" s="3">
        <f t="shared" ref="K448:K450" si="360">AVERAGE(J423:K423)*K$2</f>
        <v>49593</v>
      </c>
    </row>
    <row r="449" spans="2:30">
      <c r="C449" s="1" t="s">
        <v>203</v>
      </c>
      <c r="G449" s="1">
        <f t="shared" si="359"/>
        <v>2557.2709551656922</v>
      </c>
      <c r="H449" s="1">
        <f t="shared" si="359"/>
        <v>6194.4262295081971</v>
      </c>
      <c r="I449" s="1">
        <f t="shared" si="359"/>
        <v>9449.3039049235995</v>
      </c>
      <c r="J449" s="1">
        <f t="shared" si="359"/>
        <v>20704.949579831933</v>
      </c>
      <c r="K449" s="3">
        <f t="shared" si="360"/>
        <v>31110</v>
      </c>
    </row>
    <row r="450" spans="2:30">
      <c r="C450" s="1" t="s">
        <v>204</v>
      </c>
      <c r="G450" s="1">
        <f t="shared" si="359"/>
        <v>1459.6225352112679</v>
      </c>
      <c r="H450" s="1">
        <f t="shared" si="359"/>
        <v>2544.4377399890291</v>
      </c>
      <c r="I450" s="1">
        <f t="shared" si="359"/>
        <v>3205.0435323383081</v>
      </c>
      <c r="J450" s="1">
        <f t="shared" si="359"/>
        <v>6179.185493460167</v>
      </c>
      <c r="K450" s="3">
        <f t="shared" si="360"/>
        <v>9516</v>
      </c>
    </row>
    <row r="452" spans="2:30">
      <c r="B452" s="1" t="s">
        <v>232</v>
      </c>
    </row>
    <row r="453" spans="2:30" s="44" customFormat="1">
      <c r="C453" s="44" t="s">
        <v>199</v>
      </c>
      <c r="F453" s="45"/>
      <c r="G453" s="45">
        <v>4.3</v>
      </c>
      <c r="H453" s="45">
        <v>4.8</v>
      </c>
      <c r="I453" s="45"/>
      <c r="J453" s="45">
        <v>5.0999999999999996</v>
      </c>
      <c r="K453" s="45">
        <v>3.7</v>
      </c>
      <c r="Z453" s="45">
        <v>5.0999999999999996</v>
      </c>
      <c r="AB453" s="45">
        <v>5.0999999999999996</v>
      </c>
      <c r="AD453" s="45">
        <v>3.4</v>
      </c>
    </row>
    <row r="454" spans="2:30" s="44" customFormat="1">
      <c r="C454" s="44" t="s">
        <v>200</v>
      </c>
      <c r="F454" s="45"/>
      <c r="G454" s="45">
        <v>4.8</v>
      </c>
      <c r="H454" s="45">
        <v>5.3</v>
      </c>
      <c r="I454" s="45"/>
      <c r="J454" s="45">
        <v>5.3</v>
      </c>
      <c r="K454" s="45">
        <v>4.0999999999999996</v>
      </c>
      <c r="Z454" s="45">
        <v>5.3</v>
      </c>
      <c r="AB454" s="45">
        <v>5.3</v>
      </c>
      <c r="AD454" s="45">
        <v>3.8</v>
      </c>
    </row>
    <row r="455" spans="2:30" s="44" customFormat="1">
      <c r="C455" s="44" t="s">
        <v>203</v>
      </c>
      <c r="F455" s="45"/>
      <c r="G455" s="45">
        <v>3.8</v>
      </c>
      <c r="H455" s="45">
        <v>4.7</v>
      </c>
      <c r="I455" s="45"/>
      <c r="J455" s="45">
        <v>5.2</v>
      </c>
      <c r="K455" s="45">
        <v>4.3</v>
      </c>
      <c r="Z455" s="45">
        <v>5</v>
      </c>
      <c r="AB455" s="45">
        <v>5.0999999999999996</v>
      </c>
      <c r="AD455" s="45">
        <v>4.0999999999999996</v>
      </c>
    </row>
    <row r="456" spans="2:30" s="44" customFormat="1">
      <c r="C456" s="44" t="s">
        <v>204</v>
      </c>
      <c r="F456" s="45"/>
      <c r="G456" s="45">
        <v>5.2</v>
      </c>
      <c r="H456" s="45">
        <v>5.0999999999999996</v>
      </c>
      <c r="I456" s="45"/>
      <c r="J456" s="45">
        <v>4.4000000000000004</v>
      </c>
      <c r="K456" s="45">
        <v>3</v>
      </c>
      <c r="Z456" s="45">
        <v>4.5</v>
      </c>
      <c r="AB456" s="45">
        <v>4.3</v>
      </c>
      <c r="AD456" s="45">
        <v>2.7</v>
      </c>
    </row>
    <row r="458" spans="2:30" s="6" customFormat="1" ht="19">
      <c r="B458" s="54" t="s">
        <v>233</v>
      </c>
    </row>
    <row r="459" spans="2:30">
      <c r="B459" s="1" t="s">
        <v>229</v>
      </c>
      <c r="G459" s="1">
        <f t="shared" ref="G459:I459" si="361">G460+G461+G462+G463</f>
        <v>4795.6349999999993</v>
      </c>
      <c r="H459" s="1">
        <f t="shared" si="361"/>
        <v>6006.8130000000001</v>
      </c>
      <c r="I459" s="1">
        <f t="shared" si="361"/>
        <v>7630.0280000000002</v>
      </c>
      <c r="J459" s="1">
        <f>J460+J461+J462+J463</f>
        <v>11879.693000000001</v>
      </c>
      <c r="K459" s="1">
        <f>K460+K461+K462+K463</f>
        <v>14751.135899999999</v>
      </c>
      <c r="Z459" s="1">
        <f>Z460+Z461+Z462+Z463</f>
        <v>3941.2730000000001</v>
      </c>
      <c r="AB459" s="1">
        <f>AB460+AB461+AB462+AB463</f>
        <v>6042.701</v>
      </c>
    </row>
    <row r="460" spans="2:30">
      <c r="C460" s="1" t="s">
        <v>199</v>
      </c>
      <c r="F460" s="2"/>
      <c r="G460" s="2">
        <v>2046.712</v>
      </c>
      <c r="H460" s="2">
        <v>1931.9590000000001</v>
      </c>
      <c r="I460" s="2">
        <v>2106.973</v>
      </c>
      <c r="J460" s="2">
        <v>2787.9140000000002</v>
      </c>
      <c r="K460" s="1">
        <f>K466*K472/1000</f>
        <v>3482.3253000000004</v>
      </c>
      <c r="Z460" s="2">
        <v>1161.4570000000001</v>
      </c>
      <c r="AB460" s="2">
        <v>1483.3889999999999</v>
      </c>
    </row>
    <row r="461" spans="2:30">
      <c r="C461" s="1" t="s">
        <v>200</v>
      </c>
      <c r="F461" s="2"/>
      <c r="G461" s="2">
        <v>2298.491</v>
      </c>
      <c r="H461" s="2">
        <v>3078.9749999999999</v>
      </c>
      <c r="I461" s="2">
        <v>3953.683</v>
      </c>
      <c r="J461" s="2">
        <v>5889.1880000000001</v>
      </c>
      <c r="K461" s="1">
        <f t="shared" ref="K461:K463" si="362">K467*K473/1000</f>
        <v>6357.8225999999995</v>
      </c>
      <c r="Z461" s="2">
        <v>2043.2940000000001</v>
      </c>
      <c r="AB461" s="2">
        <v>3028.29</v>
      </c>
    </row>
    <row r="462" spans="2:30">
      <c r="C462" s="1" t="s">
        <v>203</v>
      </c>
      <c r="F462" s="2"/>
      <c r="G462" s="2">
        <v>233.768</v>
      </c>
      <c r="H462" s="2">
        <v>584.77800000000002</v>
      </c>
      <c r="I462" s="2">
        <v>1006.057</v>
      </c>
      <c r="J462" s="2">
        <v>2274.1909999999998</v>
      </c>
      <c r="K462" s="1">
        <f t="shared" si="362"/>
        <v>3521.652</v>
      </c>
      <c r="Z462" s="2">
        <v>507.721</v>
      </c>
      <c r="AB462" s="2">
        <v>1096.682</v>
      </c>
    </row>
    <row r="463" spans="2:30">
      <c r="C463" s="1" t="s">
        <v>204</v>
      </c>
      <c r="F463" s="2"/>
      <c r="G463" s="2">
        <v>216.66399999999999</v>
      </c>
      <c r="H463" s="2">
        <v>411.101</v>
      </c>
      <c r="I463" s="2">
        <v>563.31500000000005</v>
      </c>
      <c r="J463" s="2">
        <v>928.4</v>
      </c>
      <c r="K463" s="1">
        <f t="shared" si="362"/>
        <v>1389.336</v>
      </c>
      <c r="Z463" s="2">
        <v>228.80099999999999</v>
      </c>
      <c r="AB463" s="2">
        <v>434.34</v>
      </c>
    </row>
    <row r="465" spans="2:30">
      <c r="B465" s="1" t="s">
        <v>234</v>
      </c>
      <c r="G465" s="1">
        <f t="shared" ref="G465:I465" si="363">G459/G471*1000</f>
        <v>129.50203783506231</v>
      </c>
      <c r="H465" s="1">
        <f t="shared" si="363"/>
        <v>131.85895299604721</v>
      </c>
      <c r="I465" s="1">
        <f t="shared" si="363"/>
        <v>144.8205856094043</v>
      </c>
      <c r="J465" s="1">
        <f>J459/J471*1000</f>
        <v>140.33777234186843</v>
      </c>
      <c r="K465" s="1">
        <f>K459/K471*1000</f>
        <v>127.54319620253163</v>
      </c>
    </row>
    <row r="466" spans="2:30">
      <c r="C466" s="1" t="s">
        <v>199</v>
      </c>
      <c r="F466" s="2"/>
      <c r="G466" s="2">
        <v>134.19999999999999</v>
      </c>
      <c r="H466" s="2">
        <v>135.69999999999999</v>
      </c>
      <c r="I466" s="2">
        <v>149.5</v>
      </c>
      <c r="J466" s="2">
        <v>156.69999999999999</v>
      </c>
      <c r="K466" s="2">
        <v>136.9</v>
      </c>
      <c r="Z466" s="2">
        <v>144</v>
      </c>
      <c r="AB466" s="2">
        <v>155.4</v>
      </c>
      <c r="AD466" s="2">
        <v>133.80000000000001</v>
      </c>
    </row>
    <row r="467" spans="2:30">
      <c r="C467" s="1" t="s">
        <v>200</v>
      </c>
      <c r="F467" s="2"/>
      <c r="G467" s="2">
        <v>129.30000000000001</v>
      </c>
      <c r="H467" s="2">
        <v>136.5</v>
      </c>
      <c r="I467" s="2">
        <v>153</v>
      </c>
      <c r="J467" s="2">
        <v>147.1</v>
      </c>
      <c r="K467" s="2">
        <v>128.19999999999999</v>
      </c>
      <c r="Z467" s="2">
        <v>149.30000000000001</v>
      </c>
      <c r="AB467" s="2">
        <v>143.6</v>
      </c>
      <c r="AD467" s="2">
        <v>126.7</v>
      </c>
    </row>
    <row r="468" spans="2:30">
      <c r="C468" s="1" t="s">
        <v>203</v>
      </c>
      <c r="F468" s="2"/>
      <c r="G468" s="2">
        <v>91.9</v>
      </c>
      <c r="H468" s="2">
        <v>94.2</v>
      </c>
      <c r="I468" s="2">
        <v>106.1</v>
      </c>
      <c r="J468" s="2">
        <v>109.8</v>
      </c>
      <c r="K468" s="2">
        <v>113.2</v>
      </c>
      <c r="Z468" s="2">
        <v>104.1</v>
      </c>
      <c r="AB468" s="2">
        <v>104.9</v>
      </c>
      <c r="AD468" s="2">
        <v>110.9</v>
      </c>
    </row>
    <row r="469" spans="2:30">
      <c r="C469" s="1" t="s">
        <v>204</v>
      </c>
      <c r="F469" s="2"/>
      <c r="G469" s="2">
        <v>148.4</v>
      </c>
      <c r="H469" s="2">
        <v>161</v>
      </c>
      <c r="I469" s="2">
        <v>172.3</v>
      </c>
      <c r="J469" s="2">
        <v>151.9</v>
      </c>
      <c r="K469" s="2">
        <v>146</v>
      </c>
      <c r="Z469" s="2">
        <v>159.5</v>
      </c>
      <c r="AB469" s="2">
        <v>142.69999999999999</v>
      </c>
      <c r="AD469" s="2">
        <v>139.4</v>
      </c>
    </row>
    <row r="471" spans="2:30">
      <c r="B471" s="1" t="s">
        <v>231</v>
      </c>
      <c r="G471" s="1">
        <f t="shared" ref="G471:I471" si="364">G472+G473+G474+G475</f>
        <v>37031.34777004717</v>
      </c>
      <c r="H471" s="1">
        <f t="shared" si="364"/>
        <v>45554.836160272476</v>
      </c>
      <c r="I471" s="1">
        <f t="shared" si="364"/>
        <v>52686.073377571847</v>
      </c>
      <c r="J471" s="1">
        <f>J472+J473+J474+J475</f>
        <v>84650.716637147372</v>
      </c>
      <c r="K471" s="1">
        <f>K472+K473+K474+K475</f>
        <v>115656</v>
      </c>
    </row>
    <row r="472" spans="2:30">
      <c r="C472" s="1" t="s">
        <v>199</v>
      </c>
      <c r="G472" s="1">
        <f t="shared" ref="G472:J475" si="365">G460*1000/G466</f>
        <v>15251.207153502237</v>
      </c>
      <c r="H472" s="1">
        <f t="shared" si="365"/>
        <v>14236.985998526161</v>
      </c>
      <c r="I472" s="1">
        <f t="shared" si="365"/>
        <v>14093.464882943144</v>
      </c>
      <c r="J472" s="1">
        <f>J460*1000/J466</f>
        <v>17791.410338225909</v>
      </c>
      <c r="K472" s="3">
        <f>AVERAGE(J422:K422)*K$2</f>
        <v>25437</v>
      </c>
    </row>
    <row r="473" spans="2:30">
      <c r="C473" s="1" t="s">
        <v>200</v>
      </c>
      <c r="G473" s="1">
        <f t="shared" si="365"/>
        <v>17776.419180201083</v>
      </c>
      <c r="H473" s="1">
        <f t="shared" si="365"/>
        <v>22556.593406593405</v>
      </c>
      <c r="I473" s="1">
        <f t="shared" si="365"/>
        <v>25841.065359477125</v>
      </c>
      <c r="J473" s="1">
        <f t="shared" si="365"/>
        <v>40035.268524813051</v>
      </c>
      <c r="K473" s="3">
        <f t="shared" ref="K473:K475" si="366">AVERAGE(J423:K423)*K$2</f>
        <v>49593</v>
      </c>
    </row>
    <row r="474" spans="2:30">
      <c r="C474" s="1" t="s">
        <v>203</v>
      </c>
      <c r="G474" s="1">
        <f t="shared" si="365"/>
        <v>2543.721436343852</v>
      </c>
      <c r="H474" s="1">
        <f t="shared" si="365"/>
        <v>6207.8343949044583</v>
      </c>
      <c r="I474" s="1">
        <f t="shared" si="365"/>
        <v>9482.1583411875599</v>
      </c>
      <c r="J474" s="1">
        <f t="shared" si="365"/>
        <v>20712.12204007286</v>
      </c>
      <c r="K474" s="3">
        <f t="shared" si="366"/>
        <v>31110</v>
      </c>
    </row>
    <row r="475" spans="2:30">
      <c r="C475" s="1" t="s">
        <v>204</v>
      </c>
      <c r="G475" s="1">
        <f t="shared" si="365"/>
        <v>1460</v>
      </c>
      <c r="H475" s="1">
        <f t="shared" si="365"/>
        <v>2553.4223602484471</v>
      </c>
      <c r="I475" s="1">
        <f t="shared" si="365"/>
        <v>3269.3847939640159</v>
      </c>
      <c r="J475" s="1">
        <f t="shared" si="365"/>
        <v>6111.9157340355496</v>
      </c>
      <c r="K475" s="3">
        <f t="shared" si="366"/>
        <v>9516</v>
      </c>
    </row>
    <row r="477" spans="2:30">
      <c r="B477" s="1" t="s">
        <v>232</v>
      </c>
    </row>
    <row r="478" spans="2:30" s="44" customFormat="1">
      <c r="C478" s="44" t="s">
        <v>199</v>
      </c>
      <c r="F478" s="45"/>
      <c r="G478" s="45">
        <v>3.9</v>
      </c>
      <c r="H478" s="45">
        <v>4.3</v>
      </c>
      <c r="I478" s="45"/>
      <c r="J478" s="45">
        <v>5.2</v>
      </c>
      <c r="K478" s="45">
        <v>4.9000000000000004</v>
      </c>
      <c r="Z478" s="45">
        <v>4.7</v>
      </c>
      <c r="AB478" s="45">
        <v>5.0999999999999996</v>
      </c>
      <c r="AD478" s="45">
        <v>4.7</v>
      </c>
    </row>
    <row r="479" spans="2:30" s="44" customFormat="1">
      <c r="C479" s="44" t="s">
        <v>200</v>
      </c>
      <c r="F479" s="45"/>
      <c r="G479" s="45">
        <v>4.0999999999999996</v>
      </c>
      <c r="H479" s="45">
        <v>4.8</v>
      </c>
      <c r="I479" s="45"/>
      <c r="J479" s="45">
        <v>5.4</v>
      </c>
      <c r="K479" s="45">
        <v>5.0999999999999996</v>
      </c>
      <c r="Z479" s="45">
        <v>5.3</v>
      </c>
      <c r="AB479" s="45">
        <v>5.2</v>
      </c>
      <c r="AD479" s="45">
        <v>5</v>
      </c>
    </row>
    <row r="480" spans="2:30" s="44" customFormat="1">
      <c r="C480" s="44" t="s">
        <v>203</v>
      </c>
      <c r="F480" s="45"/>
      <c r="G480" s="45">
        <v>3.4</v>
      </c>
      <c r="H480" s="45">
        <v>4.0999999999999996</v>
      </c>
      <c r="I480" s="45"/>
      <c r="J480" s="45">
        <v>4.9000000000000004</v>
      </c>
      <c r="K480" s="45">
        <v>4.9000000000000004</v>
      </c>
      <c r="Z480" s="45">
        <v>4.7</v>
      </c>
      <c r="AB480" s="45">
        <v>4.7</v>
      </c>
      <c r="AD480" s="45">
        <v>4.8</v>
      </c>
    </row>
    <row r="481" spans="2:30" s="44" customFormat="1">
      <c r="C481" s="44" t="s">
        <v>204</v>
      </c>
      <c r="F481" s="45"/>
      <c r="G481" s="45">
        <v>4.4000000000000004</v>
      </c>
      <c r="H481" s="45">
        <v>5</v>
      </c>
      <c r="I481" s="45"/>
      <c r="J481" s="45">
        <v>4</v>
      </c>
      <c r="K481" s="45">
        <v>4</v>
      </c>
      <c r="Z481" s="45">
        <v>4.5</v>
      </c>
      <c r="AB481" s="45">
        <v>3.9</v>
      </c>
      <c r="AD481" s="45">
        <v>3.9</v>
      </c>
    </row>
    <row r="483" spans="2:30" s="6" customFormat="1" ht="19">
      <c r="B483" s="54" t="s">
        <v>235</v>
      </c>
    </row>
    <row r="484" spans="2:30" s="22" customFormat="1">
      <c r="B484" s="22" t="s">
        <v>236</v>
      </c>
      <c r="D484" s="55"/>
      <c r="G484" s="56">
        <f t="shared" ref="G484:K488" si="367">G434/G459-1</f>
        <v>0.14073318757578512</v>
      </c>
      <c r="H484" s="56">
        <f t="shared" si="367"/>
        <v>0.1398194017359955</v>
      </c>
      <c r="I484" s="56">
        <f t="shared" si="367"/>
        <v>6.2450360601560062E-2</v>
      </c>
      <c r="J484" s="56">
        <f t="shared" si="367"/>
        <v>1.5656717728311564E-2</v>
      </c>
      <c r="K484" s="56">
        <f t="shared" si="367"/>
        <v>-0.17715268964473441</v>
      </c>
      <c r="Z484" s="56">
        <f>Z434/Z459-1</f>
        <v>6.4244217540880832E-2</v>
      </c>
      <c r="AB484" s="56">
        <f>AB434/AB459-1</f>
        <v>4.7221432932061269E-2</v>
      </c>
    </row>
    <row r="485" spans="2:30" s="22" customFormat="1">
      <c r="C485" s="22" t="s">
        <v>199</v>
      </c>
      <c r="G485" s="56">
        <f t="shared" si="367"/>
        <v>0.10908129722208093</v>
      </c>
      <c r="H485" s="56">
        <f t="shared" si="367"/>
        <v>0.12684068347206123</v>
      </c>
      <c r="I485" s="56">
        <f t="shared" si="367"/>
        <v>0.11704374000046514</v>
      </c>
      <c r="J485" s="56">
        <f t="shared" si="367"/>
        <v>-1.567121510921865E-3</v>
      </c>
      <c r="K485" s="56">
        <f t="shared" si="367"/>
        <v>-0.23301680058436813</v>
      </c>
      <c r="Z485" s="56">
        <f>Z435/Z460-1</f>
        <v>0.12239110014404297</v>
      </c>
      <c r="AB485" s="56">
        <f>AB435/AB460-1</f>
        <v>3.3223247577001125E-2</v>
      </c>
      <c r="AD485" s="57">
        <f>AD441/AD466-1</f>
        <v>-0.27279521674140517</v>
      </c>
    </row>
    <row r="486" spans="2:30" s="22" customFormat="1">
      <c r="C486" s="22" t="s">
        <v>200</v>
      </c>
      <c r="G486" s="56">
        <f t="shared" si="367"/>
        <v>0.16559560163602982</v>
      </c>
      <c r="H486" s="56">
        <f t="shared" si="367"/>
        <v>0.14508009970850688</v>
      </c>
      <c r="I486" s="56">
        <f t="shared" si="367"/>
        <v>4.3190867856628845E-2</v>
      </c>
      <c r="J486" s="56">
        <f t="shared" si="367"/>
        <v>-1.8724313097153611E-2</v>
      </c>
      <c r="K486" s="56">
        <f t="shared" si="367"/>
        <v>-0.16926677067082685</v>
      </c>
      <c r="Z486" s="56">
        <f>Z436/Z461-1</f>
        <v>4.1754637364960656E-2</v>
      </c>
      <c r="AB486" s="56">
        <f>AB436/AB461-1</f>
        <v>1.8911002579013347E-2</v>
      </c>
      <c r="AD486" s="57">
        <f t="shared" ref="AD486:AD488" si="368">AD442/AD467-1</f>
        <v>-0.20994475138121549</v>
      </c>
    </row>
    <row r="487" spans="2:30" s="22" customFormat="1">
      <c r="C487" s="22" t="s">
        <v>203</v>
      </c>
      <c r="G487" s="56">
        <f t="shared" si="367"/>
        <v>0.12237774203483776</v>
      </c>
      <c r="H487" s="56">
        <f t="shared" si="367"/>
        <v>0.16308753065265802</v>
      </c>
      <c r="I487" s="56">
        <f t="shared" si="367"/>
        <v>0.10642637544393607</v>
      </c>
      <c r="J487" s="56">
        <f t="shared" si="367"/>
        <v>8.3413398434872166E-2</v>
      </c>
      <c r="K487" s="56">
        <f t="shared" si="367"/>
        <v>-0.10335689045936403</v>
      </c>
      <c r="Z487" s="56">
        <f>Z437/Z462-1</f>
        <v>6.3418688610476837E-2</v>
      </c>
      <c r="AB487" s="56">
        <f>AB437/AB462-1</f>
        <v>0.12469886439277733</v>
      </c>
      <c r="AD487" s="57">
        <f t="shared" si="368"/>
        <v>-0.13345356176735812</v>
      </c>
    </row>
    <row r="488" spans="2:30" s="22" customFormat="1">
      <c r="C488" s="22" t="s">
        <v>204</v>
      </c>
      <c r="G488" s="56">
        <f t="shared" si="367"/>
        <v>0.19578240962965721</v>
      </c>
      <c r="H488" s="56">
        <f t="shared" si="367"/>
        <v>0.12831396664080108</v>
      </c>
      <c r="I488" s="56">
        <f t="shared" si="367"/>
        <v>-8.5110462174804669E-2</v>
      </c>
      <c r="J488" s="56">
        <f t="shared" si="367"/>
        <v>0.11949482981473492</v>
      </c>
      <c r="K488" s="56">
        <f t="shared" si="367"/>
        <v>-0.26027397260273966</v>
      </c>
      <c r="Z488" s="56">
        <f>Z438/Z463-1</f>
        <v>-2.8251624774367268E-2</v>
      </c>
      <c r="AB488" s="56">
        <f>AB438/AB463-1</f>
        <v>9.6788230418566101E-2</v>
      </c>
      <c r="AD488" s="57">
        <f t="shared" si="368"/>
        <v>-0.30559540889526549</v>
      </c>
    </row>
    <row r="489" spans="2:30" s="22" customFormat="1"/>
    <row r="490" spans="2:30" s="22" customFormat="1">
      <c r="B490" s="22" t="s">
        <v>237</v>
      </c>
    </row>
    <row r="491" spans="2:30" s="22" customFormat="1">
      <c r="C491" s="22" t="s">
        <v>199</v>
      </c>
      <c r="G491" s="56">
        <f t="shared" ref="G491:H494" si="369">G453/G478-1</f>
        <v>0.10256410256410264</v>
      </c>
      <c r="H491" s="56">
        <f t="shared" si="369"/>
        <v>0.11627906976744184</v>
      </c>
      <c r="I491" s="56"/>
      <c r="J491" s="56">
        <f t="shared" ref="J491:K494" si="370">J453/J478-1</f>
        <v>-1.9230769230769384E-2</v>
      </c>
      <c r="K491" s="56">
        <f t="shared" si="370"/>
        <v>-0.24489795918367352</v>
      </c>
      <c r="Z491" s="56">
        <f>Z453/Z478-1</f>
        <v>8.5106382978723305E-2</v>
      </c>
      <c r="AB491" s="56">
        <f>AB453/AB478-1</f>
        <v>0</v>
      </c>
      <c r="AD491" s="56">
        <f>AD453/AD478-1</f>
        <v>-0.27659574468085113</v>
      </c>
    </row>
    <row r="492" spans="2:30" s="22" customFormat="1">
      <c r="C492" s="22" t="s">
        <v>200</v>
      </c>
      <c r="G492" s="56">
        <f t="shared" si="369"/>
        <v>0.17073170731707332</v>
      </c>
      <c r="H492" s="56">
        <f t="shared" si="369"/>
        <v>0.10416666666666674</v>
      </c>
      <c r="I492" s="56"/>
      <c r="J492" s="56">
        <f t="shared" si="370"/>
        <v>-1.8518518518518601E-2</v>
      </c>
      <c r="K492" s="56">
        <f t="shared" si="370"/>
        <v>-0.19607843137254899</v>
      </c>
      <c r="Z492" s="56">
        <f>Z454/Z479-1</f>
        <v>0</v>
      </c>
      <c r="AB492" s="56">
        <f>AB454/AB479-1</f>
        <v>1.9230769230769162E-2</v>
      </c>
      <c r="AD492" s="56">
        <f>AD454/AD479-1</f>
        <v>-0.24</v>
      </c>
    </row>
    <row r="493" spans="2:30" s="22" customFormat="1">
      <c r="C493" s="22" t="s">
        <v>203</v>
      </c>
      <c r="G493" s="56">
        <f t="shared" si="369"/>
        <v>0.11764705882352944</v>
      </c>
      <c r="H493" s="56">
        <f t="shared" si="369"/>
        <v>0.14634146341463428</v>
      </c>
      <c r="I493" s="56"/>
      <c r="J493" s="56">
        <f t="shared" si="370"/>
        <v>6.1224489795918435E-2</v>
      </c>
      <c r="K493" s="56">
        <f t="shared" si="370"/>
        <v>-0.12244897959183687</v>
      </c>
      <c r="Z493" s="56">
        <f>Z455/Z480-1</f>
        <v>6.3829787234042534E-2</v>
      </c>
      <c r="AB493" s="56">
        <f>AB455/AB480-1</f>
        <v>8.5106382978723305E-2</v>
      </c>
      <c r="AD493" s="56">
        <f>AD455/AD480-1</f>
        <v>-0.14583333333333337</v>
      </c>
    </row>
    <row r="494" spans="2:30" s="22" customFormat="1">
      <c r="C494" s="22" t="s">
        <v>204</v>
      </c>
      <c r="G494" s="56">
        <f t="shared" si="369"/>
        <v>0.18181818181818166</v>
      </c>
      <c r="H494" s="56">
        <f t="shared" si="369"/>
        <v>2.0000000000000018E-2</v>
      </c>
      <c r="I494" s="56"/>
      <c r="J494" s="56">
        <f t="shared" si="370"/>
        <v>0.10000000000000009</v>
      </c>
      <c r="K494" s="56">
        <f t="shared" si="370"/>
        <v>-0.25</v>
      </c>
      <c r="Z494" s="56">
        <f>Z456/Z481-1</f>
        <v>0</v>
      </c>
      <c r="AB494" s="56">
        <f>AB456/AB481-1</f>
        <v>0.10256410256410264</v>
      </c>
      <c r="AD494" s="56">
        <f>AD456/AD481-1</f>
        <v>-0.3076923076923076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使用说明</vt:lpstr>
      <vt:lpstr>海底捞model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 Yu Fei</dc:creator>
  <cp:lastModifiedBy>Qiu Yu Fei</cp:lastModifiedBy>
  <dcterms:created xsi:type="dcterms:W3CDTF">2021-03-25T05:08:19Z</dcterms:created>
  <dcterms:modified xsi:type="dcterms:W3CDTF">2021-03-25T06:41:35Z</dcterms:modified>
</cp:coreProperties>
</file>