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uyufei/Desktop/"/>
    </mc:Choice>
  </mc:AlternateContent>
  <xr:revisionPtr revIDLastSave="0" documentId="13_ncr:1_{FCF3FC7B-2082-9D4F-AC59-79C661D2B103}" xr6:coauthVersionLast="46" xr6:coauthVersionMax="46" xr10:uidLastSave="{00000000-0000-0000-0000-000000000000}"/>
  <bookViews>
    <workbookView xWindow="0" yWindow="960" windowWidth="27840" windowHeight="15520" xr2:uid="{C1D436FC-8403-C943-AE82-307161E7A4D6}"/>
  </bookViews>
  <sheets>
    <sheet name="使用说明" sheetId="2" r:id="rId1"/>
    <sheet name="海底捞model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03" i="1" l="1"/>
  <c r="AB503" i="1"/>
  <c r="Z503" i="1"/>
  <c r="K503" i="1"/>
  <c r="J503" i="1"/>
  <c r="H503" i="1"/>
  <c r="G503" i="1"/>
  <c r="AD502" i="1"/>
  <c r="AB502" i="1"/>
  <c r="Z502" i="1"/>
  <c r="K502" i="1"/>
  <c r="J502" i="1"/>
  <c r="H502" i="1"/>
  <c r="G502" i="1"/>
  <c r="AD501" i="1"/>
  <c r="AB501" i="1"/>
  <c r="Z501" i="1"/>
  <c r="K501" i="1"/>
  <c r="J501" i="1"/>
  <c r="H501" i="1"/>
  <c r="G501" i="1"/>
  <c r="AD500" i="1"/>
  <c r="AB500" i="1"/>
  <c r="Z500" i="1"/>
  <c r="K500" i="1"/>
  <c r="J500" i="1"/>
  <c r="H500" i="1"/>
  <c r="G500" i="1"/>
  <c r="AD497" i="1"/>
  <c r="AB497" i="1"/>
  <c r="Z497" i="1"/>
  <c r="J497" i="1"/>
  <c r="I497" i="1"/>
  <c r="H497" i="1"/>
  <c r="G497" i="1"/>
  <c r="AD496" i="1"/>
  <c r="AB496" i="1"/>
  <c r="Z496" i="1"/>
  <c r="J496" i="1"/>
  <c r="I496" i="1"/>
  <c r="H496" i="1"/>
  <c r="G496" i="1"/>
  <c r="AD495" i="1"/>
  <c r="AB495" i="1"/>
  <c r="Z495" i="1"/>
  <c r="J495" i="1"/>
  <c r="I495" i="1"/>
  <c r="H495" i="1"/>
  <c r="G495" i="1"/>
  <c r="AD494" i="1"/>
  <c r="AB494" i="1"/>
  <c r="Z494" i="1"/>
  <c r="J494" i="1"/>
  <c r="I494" i="1"/>
  <c r="H494" i="1"/>
  <c r="G494" i="1"/>
  <c r="J493" i="1"/>
  <c r="K484" i="1"/>
  <c r="K472" i="1" s="1"/>
  <c r="J484" i="1"/>
  <c r="I484" i="1"/>
  <c r="H484" i="1"/>
  <c r="G484" i="1"/>
  <c r="K483" i="1"/>
  <c r="J483" i="1"/>
  <c r="I483" i="1"/>
  <c r="H483" i="1"/>
  <c r="G483" i="1"/>
  <c r="K482" i="1"/>
  <c r="K480" i="1" s="1"/>
  <c r="J482" i="1"/>
  <c r="I482" i="1"/>
  <c r="H482" i="1"/>
  <c r="G482" i="1"/>
  <c r="K481" i="1"/>
  <c r="J481" i="1"/>
  <c r="I481" i="1"/>
  <c r="H481" i="1"/>
  <c r="H480" i="1" s="1"/>
  <c r="G481" i="1"/>
  <c r="G480" i="1" s="1"/>
  <c r="K471" i="1"/>
  <c r="K496" i="1" s="1"/>
  <c r="K470" i="1"/>
  <c r="K469" i="1"/>
  <c r="AB468" i="1"/>
  <c r="Z468" i="1"/>
  <c r="J468" i="1"/>
  <c r="I468" i="1"/>
  <c r="H468" i="1"/>
  <c r="H474" i="1" s="1"/>
  <c r="G468" i="1"/>
  <c r="G474" i="1" s="1"/>
  <c r="K459" i="1"/>
  <c r="K447" i="1" s="1"/>
  <c r="K497" i="1" s="1"/>
  <c r="J459" i="1"/>
  <c r="I459" i="1"/>
  <c r="H459" i="1"/>
  <c r="G459" i="1"/>
  <c r="K458" i="1"/>
  <c r="J458" i="1"/>
  <c r="I458" i="1"/>
  <c r="H458" i="1"/>
  <c r="G458" i="1"/>
  <c r="K457" i="1"/>
  <c r="J457" i="1"/>
  <c r="I457" i="1"/>
  <c r="H457" i="1"/>
  <c r="G457" i="1"/>
  <c r="G455" i="1" s="1"/>
  <c r="K456" i="1"/>
  <c r="J456" i="1"/>
  <c r="I456" i="1"/>
  <c r="H456" i="1"/>
  <c r="G456" i="1"/>
  <c r="H455" i="1"/>
  <c r="K446" i="1"/>
  <c r="K445" i="1"/>
  <c r="AB443" i="1"/>
  <c r="AB493" i="1" s="1"/>
  <c r="Z443" i="1"/>
  <c r="Z493" i="1" s="1"/>
  <c r="J443" i="1"/>
  <c r="I443" i="1"/>
  <c r="I493" i="1" s="1"/>
  <c r="H443" i="1"/>
  <c r="G443" i="1"/>
  <c r="K440" i="1"/>
  <c r="J440" i="1"/>
  <c r="I440" i="1"/>
  <c r="H440" i="1"/>
  <c r="G440" i="1"/>
  <c r="K439" i="1"/>
  <c r="J439" i="1"/>
  <c r="I439" i="1"/>
  <c r="H439" i="1"/>
  <c r="G439" i="1"/>
  <c r="K438" i="1"/>
  <c r="J438" i="1"/>
  <c r="I438" i="1"/>
  <c r="H438" i="1"/>
  <c r="G438" i="1"/>
  <c r="K437" i="1"/>
  <c r="J437" i="1"/>
  <c r="I437" i="1"/>
  <c r="H437" i="1"/>
  <c r="G437" i="1"/>
  <c r="J436" i="1"/>
  <c r="AD430" i="1"/>
  <c r="AB430" i="1"/>
  <c r="Z430" i="1"/>
  <c r="K430" i="1"/>
  <c r="K436" i="1" s="1"/>
  <c r="J430" i="1"/>
  <c r="I430" i="1"/>
  <c r="I436" i="1" s="1"/>
  <c r="H430" i="1"/>
  <c r="G430" i="1"/>
  <c r="Z425" i="1"/>
  <c r="X425" i="1"/>
  <c r="H425" i="1"/>
  <c r="G425" i="1"/>
  <c r="F425" i="1"/>
  <c r="Z424" i="1"/>
  <c r="X424" i="1"/>
  <c r="H424" i="1"/>
  <c r="G424" i="1"/>
  <c r="F424" i="1"/>
  <c r="Z423" i="1"/>
  <c r="X423" i="1"/>
  <c r="H423" i="1"/>
  <c r="G423" i="1"/>
  <c r="F423" i="1"/>
  <c r="Z422" i="1"/>
  <c r="X422" i="1"/>
  <c r="H422" i="1"/>
  <c r="G422" i="1"/>
  <c r="F422" i="1"/>
  <c r="F421" i="1"/>
  <c r="Y419" i="1"/>
  <c r="Y425" i="1" s="1"/>
  <c r="Y418" i="1"/>
  <c r="Y424" i="1" s="1"/>
  <c r="Y417" i="1"/>
  <c r="Y423" i="1" s="1"/>
  <c r="Y416" i="1"/>
  <c r="Z415" i="1"/>
  <c r="X415" i="1"/>
  <c r="J415" i="1"/>
  <c r="I415" i="1"/>
  <c r="H415" i="1"/>
  <c r="H421" i="1" s="1"/>
  <c r="G415" i="1"/>
  <c r="G421" i="1" s="1"/>
  <c r="F415" i="1"/>
  <c r="K411" i="1"/>
  <c r="AC410" i="1"/>
  <c r="AB410" i="1"/>
  <c r="K410" i="1"/>
  <c r="K412" i="1" s="1"/>
  <c r="J410" i="1"/>
  <c r="J412" i="1" s="1"/>
  <c r="AE408" i="1"/>
  <c r="AD408" i="1"/>
  <c r="AB408" i="1"/>
  <c r="K408" i="1"/>
  <c r="L408" i="1" s="1"/>
  <c r="J408" i="1"/>
  <c r="I408" i="1"/>
  <c r="F408" i="1"/>
  <c r="AE407" i="1"/>
  <c r="AC407" i="1"/>
  <c r="AC408" i="1" s="1"/>
  <c r="AA407" i="1"/>
  <c r="Y407" i="1"/>
  <c r="AE405" i="1"/>
  <c r="AC405" i="1"/>
  <c r="AA405" i="1"/>
  <c r="Y405" i="1"/>
  <c r="AE404" i="1"/>
  <c r="AC404" i="1"/>
  <c r="AA404" i="1"/>
  <c r="Y404" i="1"/>
  <c r="AE403" i="1"/>
  <c r="AC403" i="1"/>
  <c r="AC377" i="1" s="1"/>
  <c r="AA403" i="1"/>
  <c r="Y403" i="1"/>
  <c r="AE402" i="1"/>
  <c r="AC402" i="1"/>
  <c r="AC400" i="1" s="1"/>
  <c r="AA402" i="1"/>
  <c r="Y402" i="1"/>
  <c r="AD401" i="1"/>
  <c r="I401" i="1"/>
  <c r="H401" i="1"/>
  <c r="G401" i="1"/>
  <c r="AE400" i="1"/>
  <c r="AD400" i="1"/>
  <c r="AD410" i="1" s="1"/>
  <c r="AD412" i="1" s="1"/>
  <c r="AB400" i="1"/>
  <c r="Z400" i="1"/>
  <c r="Y400" i="1"/>
  <c r="X400" i="1"/>
  <c r="K400" i="1"/>
  <c r="J400" i="1"/>
  <c r="K401" i="1" s="1"/>
  <c r="I400" i="1"/>
  <c r="I410" i="1" s="1"/>
  <c r="H400" i="1"/>
  <c r="G400" i="1"/>
  <c r="F400" i="1"/>
  <c r="F410" i="1" s="1"/>
  <c r="F412" i="1" s="1"/>
  <c r="G397" i="1"/>
  <c r="H396" i="1"/>
  <c r="Z395" i="1"/>
  <c r="Z392" i="1"/>
  <c r="Z398" i="1" s="1"/>
  <c r="X392" i="1"/>
  <c r="H392" i="1"/>
  <c r="H398" i="1" s="1"/>
  <c r="G392" i="1"/>
  <c r="G398" i="1" s="1"/>
  <c r="F392" i="1"/>
  <c r="Z391" i="1"/>
  <c r="X391" i="1"/>
  <c r="Z397" i="1" s="1"/>
  <c r="H391" i="1"/>
  <c r="H397" i="1" s="1"/>
  <c r="G391" i="1"/>
  <c r="F391" i="1"/>
  <c r="Z390" i="1"/>
  <c r="Z396" i="1" s="1"/>
  <c r="X390" i="1"/>
  <c r="H390" i="1"/>
  <c r="G390" i="1"/>
  <c r="F390" i="1"/>
  <c r="AB389" i="1"/>
  <c r="AB395" i="1" s="1"/>
  <c r="Z389" i="1"/>
  <c r="X389" i="1"/>
  <c r="H389" i="1"/>
  <c r="H395" i="1" s="1"/>
  <c r="G389" i="1"/>
  <c r="F389" i="1"/>
  <c r="G395" i="1" s="1"/>
  <c r="O386" i="1"/>
  <c r="P386" i="1" s="1"/>
  <c r="Q386" i="1" s="1"/>
  <c r="R386" i="1" s="1"/>
  <c r="S386" i="1" s="1"/>
  <c r="T386" i="1" s="1"/>
  <c r="U386" i="1" s="1"/>
  <c r="N386" i="1"/>
  <c r="M386" i="1"/>
  <c r="M385" i="1"/>
  <c r="N385" i="1" s="1"/>
  <c r="O385" i="1" s="1"/>
  <c r="P385" i="1" s="1"/>
  <c r="Q385" i="1" s="1"/>
  <c r="R385" i="1" s="1"/>
  <c r="S385" i="1" s="1"/>
  <c r="T385" i="1" s="1"/>
  <c r="U385" i="1" s="1"/>
  <c r="M384" i="1"/>
  <c r="N384" i="1" s="1"/>
  <c r="O384" i="1" s="1"/>
  <c r="P384" i="1" s="1"/>
  <c r="Q384" i="1" s="1"/>
  <c r="R384" i="1" s="1"/>
  <c r="S384" i="1" s="1"/>
  <c r="T384" i="1" s="1"/>
  <c r="U384" i="1" s="1"/>
  <c r="U383" i="1"/>
  <c r="R383" i="1"/>
  <c r="S383" i="1" s="1"/>
  <c r="T383" i="1" s="1"/>
  <c r="Q383" i="1"/>
  <c r="N383" i="1"/>
  <c r="O383" i="1" s="1"/>
  <c r="P383" i="1" s="1"/>
  <c r="AB379" i="1"/>
  <c r="AA379" i="1"/>
  <c r="AE378" i="1"/>
  <c r="AD378" i="1"/>
  <c r="K378" i="1"/>
  <c r="AE377" i="1"/>
  <c r="AB377" i="1"/>
  <c r="K377" i="1"/>
  <c r="J377" i="1"/>
  <c r="AB376" i="1"/>
  <c r="AA376" i="1"/>
  <c r="AB373" i="1"/>
  <c r="AA373" i="1"/>
  <c r="Z373" i="1"/>
  <c r="AE372" i="1"/>
  <c r="AD372" i="1"/>
  <c r="AC372" i="1"/>
  <c r="AC371" i="1"/>
  <c r="AB371" i="1"/>
  <c r="J371" i="1"/>
  <c r="AD370" i="1"/>
  <c r="AB370" i="1"/>
  <c r="AA370" i="1"/>
  <c r="AB369" i="1"/>
  <c r="AE367" i="1"/>
  <c r="AD367" i="1"/>
  <c r="AC367" i="1"/>
  <c r="AB367" i="1"/>
  <c r="AA367" i="1"/>
  <c r="AE366" i="1"/>
  <c r="AD366" i="1"/>
  <c r="AC366" i="1"/>
  <c r="J366" i="1" s="1"/>
  <c r="AB366" i="1"/>
  <c r="AB378" i="1" s="1"/>
  <c r="AA366" i="1"/>
  <c r="X366" i="1"/>
  <c r="K366" i="1"/>
  <c r="K372" i="1" s="1"/>
  <c r="G366" i="1"/>
  <c r="F366" i="1"/>
  <c r="F372" i="1" s="1"/>
  <c r="AE365" i="1"/>
  <c r="AD365" i="1"/>
  <c r="AD377" i="1" s="1"/>
  <c r="AC365" i="1"/>
  <c r="J365" i="1" s="1"/>
  <c r="AB365" i="1"/>
  <c r="AA365" i="1"/>
  <c r="K365" i="1"/>
  <c r="K359" i="1" s="1"/>
  <c r="K390" i="1" s="1"/>
  <c r="G365" i="1"/>
  <c r="AE364" i="1"/>
  <c r="AE370" i="1" s="1"/>
  <c r="AD364" i="1"/>
  <c r="AD376" i="1" s="1"/>
  <c r="AC364" i="1"/>
  <c r="AB364" i="1"/>
  <c r="AA364" i="1"/>
  <c r="X364" i="1"/>
  <c r="K364" i="1"/>
  <c r="AD363" i="1"/>
  <c r="AD369" i="1" s="1"/>
  <c r="AB363" i="1"/>
  <c r="AD359" i="1"/>
  <c r="AD390" i="1" s="1"/>
  <c r="I355" i="1"/>
  <c r="H355" i="1"/>
  <c r="I354" i="1"/>
  <c r="G354" i="1"/>
  <c r="K351" i="1"/>
  <c r="K350" i="1"/>
  <c r="K349" i="1"/>
  <c r="J348" i="1"/>
  <c r="I348" i="1"/>
  <c r="Z345" i="1"/>
  <c r="AD344" i="1"/>
  <c r="AB344" i="1"/>
  <c r="K343" i="1"/>
  <c r="I343" i="1"/>
  <c r="H343" i="1"/>
  <c r="K342" i="1"/>
  <c r="J342" i="1"/>
  <c r="AE339" i="1"/>
  <c r="AD339" i="1"/>
  <c r="AB339" i="1"/>
  <c r="Z339" i="1"/>
  <c r="Z367" i="1" s="1"/>
  <c r="I367" i="1" s="1"/>
  <c r="Y339" i="1"/>
  <c r="X339" i="1"/>
  <c r="X367" i="1" s="1"/>
  <c r="X379" i="1" s="1"/>
  <c r="K339" i="1"/>
  <c r="J339" i="1"/>
  <c r="I339" i="1"/>
  <c r="H339" i="1"/>
  <c r="G339" i="1"/>
  <c r="G367" i="1" s="1"/>
  <c r="F339" i="1"/>
  <c r="AE338" i="1"/>
  <c r="AE360" i="1" s="1"/>
  <c r="AD338" i="1"/>
  <c r="AD360" i="1" s="1"/>
  <c r="AD391" i="1" s="1"/>
  <c r="AD397" i="1" s="1"/>
  <c r="AB338" i="1"/>
  <c r="AB360" i="1" s="1"/>
  <c r="AB391" i="1" s="1"/>
  <c r="AB397" i="1" s="1"/>
  <c r="Z338" i="1"/>
  <c r="X338" i="1"/>
  <c r="K338" i="1"/>
  <c r="J338" i="1"/>
  <c r="I338" i="1"/>
  <c r="H338" i="1"/>
  <c r="G338" i="1"/>
  <c r="G344" i="1" s="1"/>
  <c r="F338" i="1"/>
  <c r="AD337" i="1"/>
  <c r="AB337" i="1"/>
  <c r="AB359" i="1" s="1"/>
  <c r="AB390" i="1" s="1"/>
  <c r="AB396" i="1" s="1"/>
  <c r="AA337" i="1"/>
  <c r="Z337" i="1"/>
  <c r="X337" i="1"/>
  <c r="K337" i="1"/>
  <c r="J337" i="1"/>
  <c r="I337" i="1"/>
  <c r="H337" i="1"/>
  <c r="H365" i="1" s="1"/>
  <c r="G337" i="1"/>
  <c r="G355" i="1" s="1"/>
  <c r="F337" i="1"/>
  <c r="F365" i="1" s="1"/>
  <c r="AE336" i="1"/>
  <c r="AD336" i="1"/>
  <c r="AD358" i="1" s="1"/>
  <c r="AD389" i="1" s="1"/>
  <c r="AB336" i="1"/>
  <c r="AB358" i="1" s="1"/>
  <c r="AA336" i="1"/>
  <c r="Z336" i="1"/>
  <c r="X336" i="1"/>
  <c r="K336" i="1"/>
  <c r="J336" i="1"/>
  <c r="I336" i="1"/>
  <c r="H336" i="1"/>
  <c r="G336" i="1"/>
  <c r="F336" i="1"/>
  <c r="K335" i="1"/>
  <c r="J335" i="1"/>
  <c r="I335" i="1"/>
  <c r="AD333" i="1"/>
  <c r="AB333" i="1"/>
  <c r="Z333" i="1"/>
  <c r="K333" i="1"/>
  <c r="J333" i="1"/>
  <c r="I333" i="1"/>
  <c r="H333" i="1"/>
  <c r="G333" i="1"/>
  <c r="AD332" i="1"/>
  <c r="AB332" i="1"/>
  <c r="Z332" i="1"/>
  <c r="K332" i="1"/>
  <c r="J332" i="1"/>
  <c r="I332" i="1"/>
  <c r="H332" i="1"/>
  <c r="G332" i="1"/>
  <c r="AD331" i="1"/>
  <c r="AB331" i="1"/>
  <c r="Z331" i="1"/>
  <c r="K331" i="1"/>
  <c r="J331" i="1"/>
  <c r="I331" i="1"/>
  <c r="H331" i="1"/>
  <c r="G331" i="1"/>
  <c r="AD330" i="1"/>
  <c r="AB330" i="1"/>
  <c r="Z330" i="1"/>
  <c r="K330" i="1"/>
  <c r="J330" i="1"/>
  <c r="I330" i="1"/>
  <c r="H330" i="1"/>
  <c r="G330" i="1"/>
  <c r="L327" i="1"/>
  <c r="L326" i="1"/>
  <c r="M325" i="1"/>
  <c r="L325" i="1"/>
  <c r="L324" i="1"/>
  <c r="K323" i="1"/>
  <c r="AE321" i="1"/>
  <c r="AC321" i="1"/>
  <c r="K321" i="1"/>
  <c r="J321" i="1"/>
  <c r="F321" i="1"/>
  <c r="AE320" i="1"/>
  <c r="AE314" i="1"/>
  <c r="AD314" i="1"/>
  <c r="AC314" i="1"/>
  <c r="AB314" i="1"/>
  <c r="AA314" i="1"/>
  <c r="Z314" i="1"/>
  <c r="K314" i="1"/>
  <c r="J314" i="1"/>
  <c r="I314" i="1"/>
  <c r="H314" i="1"/>
  <c r="G314" i="1"/>
  <c r="AE313" i="1"/>
  <c r="AD313" i="1"/>
  <c r="AC313" i="1"/>
  <c r="AB313" i="1"/>
  <c r="AA313" i="1"/>
  <c r="Z313" i="1"/>
  <c r="K313" i="1"/>
  <c r="J313" i="1"/>
  <c r="I313" i="1"/>
  <c r="H313" i="1"/>
  <c r="G313" i="1"/>
  <c r="AE312" i="1"/>
  <c r="AD312" i="1"/>
  <c r="AC312" i="1"/>
  <c r="AB312" i="1"/>
  <c r="AA312" i="1"/>
  <c r="Z312" i="1"/>
  <c r="U312" i="1"/>
  <c r="T312" i="1"/>
  <c r="O312" i="1"/>
  <c r="M312" i="1"/>
  <c r="K312" i="1"/>
  <c r="J312" i="1"/>
  <c r="I312" i="1"/>
  <c r="H312" i="1"/>
  <c r="G312" i="1"/>
  <c r="AE311" i="1"/>
  <c r="AD311" i="1"/>
  <c r="AC311" i="1"/>
  <c r="AB311" i="1"/>
  <c r="AA311" i="1"/>
  <c r="Z311" i="1"/>
  <c r="K311" i="1"/>
  <c r="J311" i="1"/>
  <c r="I311" i="1"/>
  <c r="H311" i="1"/>
  <c r="G311" i="1"/>
  <c r="AD310" i="1"/>
  <c r="U310" i="1"/>
  <c r="T310" i="1"/>
  <c r="S310" i="1"/>
  <c r="R310" i="1"/>
  <c r="Q310" i="1"/>
  <c r="P310" i="1"/>
  <c r="O310" i="1"/>
  <c r="N310" i="1"/>
  <c r="M310" i="1"/>
  <c r="L310" i="1"/>
  <c r="AD308" i="1"/>
  <c r="F308" i="1"/>
  <c r="AE307" i="1"/>
  <c r="AC307" i="1"/>
  <c r="AA307" i="1"/>
  <c r="AE306" i="1"/>
  <c r="AE310" i="1" s="1"/>
  <c r="AD306" i="1"/>
  <c r="L306" i="1"/>
  <c r="L308" i="1" s="1"/>
  <c r="K304" i="1"/>
  <c r="J304" i="1"/>
  <c r="K303" i="1"/>
  <c r="J303" i="1"/>
  <c r="I303" i="1"/>
  <c r="H303" i="1"/>
  <c r="G303" i="1"/>
  <c r="K302" i="1"/>
  <c r="I302" i="1"/>
  <c r="H302" i="1"/>
  <c r="J301" i="1"/>
  <c r="I301" i="1"/>
  <c r="H301" i="1"/>
  <c r="AE298" i="1"/>
  <c r="AD298" i="1"/>
  <c r="AC298" i="1"/>
  <c r="AB298" i="1"/>
  <c r="AA298" i="1"/>
  <c r="Z298" i="1"/>
  <c r="K298" i="1"/>
  <c r="J298" i="1"/>
  <c r="I298" i="1"/>
  <c r="H298" i="1"/>
  <c r="G298" i="1"/>
  <c r="AE297" i="1"/>
  <c r="AD297" i="1"/>
  <c r="AC297" i="1"/>
  <c r="AB297" i="1"/>
  <c r="AA297" i="1"/>
  <c r="Z297" i="1"/>
  <c r="K297" i="1"/>
  <c r="J297" i="1"/>
  <c r="I297" i="1"/>
  <c r="H297" i="1"/>
  <c r="G297" i="1"/>
  <c r="AE296" i="1"/>
  <c r="AD296" i="1"/>
  <c r="AC296" i="1"/>
  <c r="AB296" i="1"/>
  <c r="AA296" i="1"/>
  <c r="Z296" i="1"/>
  <c r="K296" i="1"/>
  <c r="J296" i="1"/>
  <c r="I296" i="1"/>
  <c r="H296" i="1"/>
  <c r="G296" i="1"/>
  <c r="AE295" i="1"/>
  <c r="AD295" i="1"/>
  <c r="AC295" i="1"/>
  <c r="AB295" i="1"/>
  <c r="AA295" i="1"/>
  <c r="Z295" i="1"/>
  <c r="K295" i="1"/>
  <c r="J295" i="1"/>
  <c r="I295" i="1"/>
  <c r="H295" i="1"/>
  <c r="G295" i="1"/>
  <c r="AD294" i="1"/>
  <c r="K294" i="1"/>
  <c r="J294" i="1"/>
  <c r="H294" i="1"/>
  <c r="AE288" i="1"/>
  <c r="AE294" i="1" s="1"/>
  <c r="AD288" i="1"/>
  <c r="AD321" i="1" s="1"/>
  <c r="AD309" i="1" s="1"/>
  <c r="AC288" i="1"/>
  <c r="AB288" i="1"/>
  <c r="AB321" i="1" s="1"/>
  <c r="AA288" i="1"/>
  <c r="Z288" i="1"/>
  <c r="Z321" i="1" s="1"/>
  <c r="Y288" i="1"/>
  <c r="Y321" i="1" s="1"/>
  <c r="Z306" i="1" s="1"/>
  <c r="X288" i="1"/>
  <c r="Z294" i="1" s="1"/>
  <c r="K288" i="1"/>
  <c r="K301" i="1" s="1"/>
  <c r="J288" i="1"/>
  <c r="J302" i="1" s="1"/>
  <c r="I288" i="1"/>
  <c r="H288" i="1"/>
  <c r="G288" i="1"/>
  <c r="F288" i="1"/>
  <c r="G294" i="1" s="1"/>
  <c r="J285" i="1"/>
  <c r="I285" i="1"/>
  <c r="G285" i="1"/>
  <c r="K284" i="1"/>
  <c r="H285" i="1"/>
  <c r="Z271" i="1"/>
  <c r="G271" i="1"/>
  <c r="F271" i="1"/>
  <c r="AD270" i="1"/>
  <c r="AD271" i="1" s="1"/>
  <c r="AB270" i="1"/>
  <c r="AB271" i="1" s="1"/>
  <c r="Z270" i="1"/>
  <c r="X270" i="1"/>
  <c r="X271" i="1" s="1"/>
  <c r="H270" i="1"/>
  <c r="H271" i="1" s="1"/>
  <c r="G270" i="1"/>
  <c r="AD267" i="1"/>
  <c r="AD268" i="1" s="1"/>
  <c r="AC267" i="1"/>
  <c r="AB267" i="1"/>
  <c r="AB268" i="1" s="1"/>
  <c r="AA267" i="1"/>
  <c r="AB266" i="1" s="1"/>
  <c r="Z267" i="1"/>
  <c r="Y267" i="1"/>
  <c r="K267" i="1"/>
  <c r="L266" i="1" s="1"/>
  <c r="J267" i="1"/>
  <c r="I267" i="1"/>
  <c r="H267" i="1"/>
  <c r="G267" i="1"/>
  <c r="F267" i="1"/>
  <c r="AD266" i="1"/>
  <c r="Z266" i="1"/>
  <c r="K266" i="1"/>
  <c r="J266" i="1"/>
  <c r="J268" i="1" s="1"/>
  <c r="AC265" i="1"/>
  <c r="AA265" i="1"/>
  <c r="Y265" i="1"/>
  <c r="AC264" i="1"/>
  <c r="AA264" i="1"/>
  <c r="Y264" i="1"/>
  <c r="AD263" i="1"/>
  <c r="AB263" i="1"/>
  <c r="Z263" i="1"/>
  <c r="X263" i="1"/>
  <c r="J263" i="1"/>
  <c r="I263" i="1"/>
  <c r="H263" i="1"/>
  <c r="G263" i="1"/>
  <c r="F263" i="1"/>
  <c r="K261" i="1"/>
  <c r="G261" i="1"/>
  <c r="F261" i="1"/>
  <c r="AC260" i="1"/>
  <c r="Y260" i="1"/>
  <c r="I260" i="1"/>
  <c r="AA260" i="1" s="1"/>
  <c r="AC259" i="1"/>
  <c r="AA259" i="1"/>
  <c r="Y259" i="1"/>
  <c r="L259" i="1"/>
  <c r="K259" i="1"/>
  <c r="AC258" i="1"/>
  <c r="AA258" i="1"/>
  <c r="Y258" i="1"/>
  <c r="AC257" i="1"/>
  <c r="Z257" i="1"/>
  <c r="X257" i="1"/>
  <c r="I257" i="1"/>
  <c r="AA257" i="1" s="1"/>
  <c r="H257" i="1"/>
  <c r="Y257" i="1" s="1"/>
  <c r="AD256" i="1"/>
  <c r="AD261" i="1" s="1"/>
  <c r="AA256" i="1"/>
  <c r="Z256" i="1"/>
  <c r="Z261" i="1" s="1"/>
  <c r="K256" i="1"/>
  <c r="J256" i="1"/>
  <c r="J261" i="1" s="1"/>
  <c r="I256" i="1"/>
  <c r="H256" i="1"/>
  <c r="G256" i="1"/>
  <c r="F256" i="1"/>
  <c r="AC255" i="1"/>
  <c r="AA255" i="1"/>
  <c r="Y255" i="1"/>
  <c r="Y263" i="1" s="1"/>
  <c r="AB253" i="1"/>
  <c r="U253" i="1"/>
  <c r="T253" i="1"/>
  <c r="S253" i="1"/>
  <c r="R253" i="1"/>
  <c r="Q253" i="1"/>
  <c r="P253" i="1"/>
  <c r="O253" i="1"/>
  <c r="N253" i="1"/>
  <c r="M253" i="1"/>
  <c r="L253" i="1"/>
  <c r="K253" i="1"/>
  <c r="I253" i="1"/>
  <c r="H253" i="1"/>
  <c r="G253" i="1"/>
  <c r="F253" i="1"/>
  <c r="AD252" i="1"/>
  <c r="AD253" i="1" s="1"/>
  <c r="AC252" i="1"/>
  <c r="AB252" i="1"/>
  <c r="AA252" i="1"/>
  <c r="Z252" i="1"/>
  <c r="Z253" i="1" s="1"/>
  <c r="L252" i="1"/>
  <c r="K252" i="1"/>
  <c r="J252" i="1"/>
  <c r="J253" i="1" s="1"/>
  <c r="I252" i="1"/>
  <c r="H252" i="1"/>
  <c r="G252" i="1"/>
  <c r="AC251" i="1"/>
  <c r="AA251" i="1"/>
  <c r="Y251" i="1"/>
  <c r="AC250" i="1"/>
  <c r="AA250" i="1"/>
  <c r="Y250" i="1"/>
  <c r="K250" i="1"/>
  <c r="AC249" i="1"/>
  <c r="AA249" i="1"/>
  <c r="Y249" i="1"/>
  <c r="AC248" i="1"/>
  <c r="AA248" i="1"/>
  <c r="Y248" i="1"/>
  <c r="J245" i="1"/>
  <c r="J270" i="1" s="1"/>
  <c r="J271" i="1" s="1"/>
  <c r="I245" i="1"/>
  <c r="I270" i="1" s="1"/>
  <c r="I271" i="1" s="1"/>
  <c r="H245" i="1"/>
  <c r="G245" i="1"/>
  <c r="F245" i="1"/>
  <c r="F270" i="1" s="1"/>
  <c r="AB242" i="1"/>
  <c r="Z242" i="1"/>
  <c r="H242" i="1"/>
  <c r="G242" i="1"/>
  <c r="F242" i="1"/>
  <c r="AC240" i="1"/>
  <c r="AA240" i="1"/>
  <c r="Y240" i="1"/>
  <c r="AC239" i="1"/>
  <c r="AA239" i="1"/>
  <c r="Y239" i="1"/>
  <c r="AC238" i="1"/>
  <c r="AA238" i="1"/>
  <c r="Y238" i="1"/>
  <c r="AC236" i="1"/>
  <c r="AA236" i="1"/>
  <c r="Y236" i="1"/>
  <c r="Y270" i="1" s="1"/>
  <c r="K228" i="1"/>
  <c r="L228" i="1" s="1"/>
  <c r="I228" i="1"/>
  <c r="H228" i="1"/>
  <c r="G228" i="1"/>
  <c r="F227" i="1"/>
  <c r="L226" i="1"/>
  <c r="K226" i="1"/>
  <c r="L225" i="1"/>
  <c r="K225" i="1"/>
  <c r="J225" i="1"/>
  <c r="G225" i="1"/>
  <c r="F225" i="1"/>
  <c r="H224" i="1"/>
  <c r="G224" i="1"/>
  <c r="F224" i="1"/>
  <c r="J223" i="1"/>
  <c r="I223" i="1"/>
  <c r="H223" i="1"/>
  <c r="G223" i="1"/>
  <c r="F223" i="1"/>
  <c r="J222" i="1"/>
  <c r="I222" i="1"/>
  <c r="H222" i="1"/>
  <c r="G222" i="1"/>
  <c r="F222" i="1"/>
  <c r="J221" i="1"/>
  <c r="I221" i="1"/>
  <c r="AE219" i="1"/>
  <c r="AD219" i="1"/>
  <c r="AC219" i="1"/>
  <c r="AB219" i="1"/>
  <c r="AA219" i="1"/>
  <c r="Z219" i="1"/>
  <c r="Y219" i="1"/>
  <c r="X219" i="1"/>
  <c r="K219" i="1"/>
  <c r="J219" i="1"/>
  <c r="I219" i="1"/>
  <c r="H219" i="1"/>
  <c r="G219" i="1"/>
  <c r="F219" i="1"/>
  <c r="AE218" i="1"/>
  <c r="AD218" i="1"/>
  <c r="AC218" i="1"/>
  <c r="AB218" i="1"/>
  <c r="AA218" i="1"/>
  <c r="Z218" i="1"/>
  <c r="Y218" i="1"/>
  <c r="X218" i="1"/>
  <c r="K218" i="1"/>
  <c r="J218" i="1"/>
  <c r="J228" i="1" s="1"/>
  <c r="I218" i="1"/>
  <c r="H218" i="1"/>
  <c r="G218" i="1"/>
  <c r="F218" i="1"/>
  <c r="F228" i="1" s="1"/>
  <c r="K217" i="1"/>
  <c r="K227" i="1" s="1"/>
  <c r="L227" i="1" s="1"/>
  <c r="J217" i="1"/>
  <c r="J227" i="1" s="1"/>
  <c r="I217" i="1"/>
  <c r="I227" i="1" s="1"/>
  <c r="H217" i="1"/>
  <c r="H227" i="1" s="1"/>
  <c r="G217" i="1"/>
  <c r="G227" i="1" s="1"/>
  <c r="F217" i="1"/>
  <c r="AE216" i="1"/>
  <c r="AC216" i="1"/>
  <c r="AB216" i="1"/>
  <c r="AA216" i="1"/>
  <c r="Z216" i="1"/>
  <c r="Y216" i="1"/>
  <c r="X216" i="1"/>
  <c r="K216" i="1"/>
  <c r="J216" i="1"/>
  <c r="J226" i="1" s="1"/>
  <c r="I216" i="1"/>
  <c r="I226" i="1" s="1"/>
  <c r="H216" i="1"/>
  <c r="H226" i="1" s="1"/>
  <c r="G216" i="1"/>
  <c r="F216" i="1"/>
  <c r="F226" i="1" s="1"/>
  <c r="AE215" i="1"/>
  <c r="AD215" i="1"/>
  <c r="AC215" i="1"/>
  <c r="AB215" i="1"/>
  <c r="AA215" i="1"/>
  <c r="Z215" i="1"/>
  <c r="Y215" i="1"/>
  <c r="X215" i="1"/>
  <c r="K215" i="1"/>
  <c r="J215" i="1"/>
  <c r="I215" i="1"/>
  <c r="H215" i="1"/>
  <c r="G215" i="1"/>
  <c r="F215" i="1"/>
  <c r="AE214" i="1"/>
  <c r="AD214" i="1"/>
  <c r="AC214" i="1"/>
  <c r="AB214" i="1"/>
  <c r="AB212" i="1" s="1"/>
  <c r="AA214" i="1"/>
  <c r="Z214" i="1"/>
  <c r="Y214" i="1"/>
  <c r="X214" i="1"/>
  <c r="K214" i="1"/>
  <c r="J214" i="1"/>
  <c r="I214" i="1"/>
  <c r="I225" i="1" s="1"/>
  <c r="H214" i="1"/>
  <c r="H225" i="1" s="1"/>
  <c r="G214" i="1"/>
  <c r="F214" i="1"/>
  <c r="AE213" i="1"/>
  <c r="AE212" i="1" s="1"/>
  <c r="AD213" i="1"/>
  <c r="AC213" i="1"/>
  <c r="AB213" i="1"/>
  <c r="AA213" i="1"/>
  <c r="Z213" i="1"/>
  <c r="Y213" i="1"/>
  <c r="X213" i="1"/>
  <c r="K213" i="1"/>
  <c r="J213" i="1"/>
  <c r="I213" i="1"/>
  <c r="I212" i="1" s="1"/>
  <c r="H213" i="1"/>
  <c r="H221" i="1" s="1"/>
  <c r="G213" i="1"/>
  <c r="G221" i="1" s="1"/>
  <c r="F213" i="1"/>
  <c r="F212" i="1" s="1"/>
  <c r="F229" i="1" s="1"/>
  <c r="AA212" i="1"/>
  <c r="AA241" i="1" s="1"/>
  <c r="Z212" i="1"/>
  <c r="Z241" i="1" s="1"/>
  <c r="Y212" i="1"/>
  <c r="X212" i="1"/>
  <c r="H212" i="1"/>
  <c r="X208" i="1"/>
  <c r="AE207" i="1"/>
  <c r="AA207" i="1"/>
  <c r="Z207" i="1"/>
  <c r="J207" i="1"/>
  <c r="I207" i="1"/>
  <c r="H207" i="1"/>
  <c r="G207" i="1"/>
  <c r="F207" i="1"/>
  <c r="J203" i="1"/>
  <c r="I203" i="1"/>
  <c r="H203" i="1"/>
  <c r="M198" i="1"/>
  <c r="L198" i="1"/>
  <c r="AE197" i="1"/>
  <c r="AD197" i="1"/>
  <c r="AD207" i="1" s="1"/>
  <c r="AC197" i="1"/>
  <c r="AC207" i="1" s="1"/>
  <c r="AB197" i="1"/>
  <c r="AB207" i="1" s="1"/>
  <c r="AA197" i="1"/>
  <c r="Z197" i="1"/>
  <c r="Y197" i="1"/>
  <c r="Y207" i="1" s="1"/>
  <c r="Y208" i="1" s="1"/>
  <c r="X197" i="1"/>
  <c r="X207" i="1" s="1"/>
  <c r="K197" i="1"/>
  <c r="K207" i="1" s="1"/>
  <c r="J197" i="1"/>
  <c r="I197" i="1"/>
  <c r="H197" i="1"/>
  <c r="G197" i="1"/>
  <c r="F197" i="1"/>
  <c r="AA195" i="1"/>
  <c r="H195" i="1"/>
  <c r="L193" i="1"/>
  <c r="M193" i="1" s="1"/>
  <c r="N193" i="1" s="1"/>
  <c r="O193" i="1" s="1"/>
  <c r="P193" i="1" s="1"/>
  <c r="Q193" i="1" s="1"/>
  <c r="R193" i="1" s="1"/>
  <c r="S193" i="1" s="1"/>
  <c r="T193" i="1" s="1"/>
  <c r="U193" i="1" s="1"/>
  <c r="AE191" i="1"/>
  <c r="AD191" i="1"/>
  <c r="L191" i="1"/>
  <c r="K191" i="1"/>
  <c r="L190" i="1"/>
  <c r="M190" i="1" s="1"/>
  <c r="AE188" i="1"/>
  <c r="AD188" i="1"/>
  <c r="AC188" i="1"/>
  <c r="AC195" i="1" s="1"/>
  <c r="AB188" i="1"/>
  <c r="AA188" i="1"/>
  <c r="Z188" i="1"/>
  <c r="Y188" i="1"/>
  <c r="X188" i="1"/>
  <c r="K188" i="1"/>
  <c r="J188" i="1"/>
  <c r="I188" i="1"/>
  <c r="H188" i="1"/>
  <c r="G188" i="1"/>
  <c r="F188" i="1"/>
  <c r="AE184" i="1"/>
  <c r="AE177" i="1" s="1"/>
  <c r="AE195" i="1" s="1"/>
  <c r="AD184" i="1"/>
  <c r="AC184" i="1"/>
  <c r="AB184" i="1"/>
  <c r="AB256" i="1" s="1"/>
  <c r="AB261" i="1" s="1"/>
  <c r="K184" i="1"/>
  <c r="L184" i="1" s="1"/>
  <c r="M184" i="1" s="1"/>
  <c r="N184" i="1" s="1"/>
  <c r="O184" i="1" s="1"/>
  <c r="P184" i="1" s="1"/>
  <c r="Q184" i="1" s="1"/>
  <c r="R184" i="1" s="1"/>
  <c r="S184" i="1" s="1"/>
  <c r="T184" i="1" s="1"/>
  <c r="U184" i="1" s="1"/>
  <c r="J184" i="1"/>
  <c r="O183" i="1"/>
  <c r="P183" i="1" s="1"/>
  <c r="Q183" i="1" s="1"/>
  <c r="R183" i="1" s="1"/>
  <c r="S183" i="1" s="1"/>
  <c r="T183" i="1" s="1"/>
  <c r="U183" i="1" s="1"/>
  <c r="N183" i="1"/>
  <c r="M183" i="1"/>
  <c r="L183" i="1"/>
  <c r="O182" i="1"/>
  <c r="P182" i="1" s="1"/>
  <c r="Q182" i="1" s="1"/>
  <c r="R182" i="1" s="1"/>
  <c r="S182" i="1" s="1"/>
  <c r="T182" i="1" s="1"/>
  <c r="U182" i="1" s="1"/>
  <c r="M182" i="1"/>
  <c r="N182" i="1" s="1"/>
  <c r="L182" i="1"/>
  <c r="O181" i="1"/>
  <c r="P181" i="1" s="1"/>
  <c r="Q181" i="1" s="1"/>
  <c r="R181" i="1" s="1"/>
  <c r="S181" i="1" s="1"/>
  <c r="T181" i="1" s="1"/>
  <c r="U181" i="1" s="1"/>
  <c r="N181" i="1"/>
  <c r="M181" i="1"/>
  <c r="L181" i="1"/>
  <c r="AE180" i="1"/>
  <c r="AD180" i="1"/>
  <c r="AD216" i="1" s="1"/>
  <c r="AD212" i="1" s="1"/>
  <c r="AC180" i="1"/>
  <c r="AC177" i="1" s="1"/>
  <c r="K180" i="1"/>
  <c r="K177" i="1" s="1"/>
  <c r="J180" i="1"/>
  <c r="J177" i="1" s="1"/>
  <c r="J195" i="1" s="1"/>
  <c r="AD177" i="1"/>
  <c r="AA177" i="1"/>
  <c r="Z177" i="1"/>
  <c r="Z195" i="1" s="1"/>
  <c r="Y177" i="1"/>
  <c r="Y195" i="1" s="1"/>
  <c r="X177" i="1"/>
  <c r="X195" i="1" s="1"/>
  <c r="I177" i="1"/>
  <c r="I195" i="1" s="1"/>
  <c r="H177" i="1"/>
  <c r="G177" i="1"/>
  <c r="G195" i="1" s="1"/>
  <c r="F177" i="1"/>
  <c r="F195" i="1" s="1"/>
  <c r="X175" i="1"/>
  <c r="I175" i="1"/>
  <c r="I208" i="1" s="1"/>
  <c r="H175" i="1"/>
  <c r="H208" i="1" s="1"/>
  <c r="G175" i="1"/>
  <c r="F175" i="1"/>
  <c r="P172" i="1"/>
  <c r="O172" i="1"/>
  <c r="N172" i="1"/>
  <c r="L172" i="1"/>
  <c r="M172" i="1" s="1"/>
  <c r="L171" i="1"/>
  <c r="M171" i="1" s="1"/>
  <c r="N171" i="1" s="1"/>
  <c r="O171" i="1" s="1"/>
  <c r="P171" i="1" s="1"/>
  <c r="Q171" i="1" s="1"/>
  <c r="R171" i="1" s="1"/>
  <c r="S171" i="1" s="1"/>
  <c r="T171" i="1" s="1"/>
  <c r="U171" i="1" s="1"/>
  <c r="M170" i="1"/>
  <c r="N170" i="1" s="1"/>
  <c r="O170" i="1" s="1"/>
  <c r="P170" i="1" s="1"/>
  <c r="Q170" i="1" s="1"/>
  <c r="R170" i="1" s="1"/>
  <c r="S170" i="1" s="1"/>
  <c r="T170" i="1" s="1"/>
  <c r="U170" i="1" s="1"/>
  <c r="L170" i="1"/>
  <c r="L169" i="1"/>
  <c r="M169" i="1" s="1"/>
  <c r="N169" i="1" s="1"/>
  <c r="O169" i="1" s="1"/>
  <c r="P169" i="1" s="1"/>
  <c r="Q169" i="1" s="1"/>
  <c r="R169" i="1" s="1"/>
  <c r="S169" i="1" s="1"/>
  <c r="T169" i="1" s="1"/>
  <c r="U169" i="1" s="1"/>
  <c r="L168" i="1"/>
  <c r="M168" i="1" s="1"/>
  <c r="N168" i="1" s="1"/>
  <c r="O168" i="1" s="1"/>
  <c r="P168" i="1" s="1"/>
  <c r="Q168" i="1" s="1"/>
  <c r="R168" i="1" s="1"/>
  <c r="S168" i="1" s="1"/>
  <c r="T168" i="1" s="1"/>
  <c r="U168" i="1" s="1"/>
  <c r="J167" i="1"/>
  <c r="J224" i="1" s="1"/>
  <c r="I167" i="1"/>
  <c r="I224" i="1" s="1"/>
  <c r="H167" i="1"/>
  <c r="G167" i="1"/>
  <c r="F167" i="1"/>
  <c r="AE161" i="1"/>
  <c r="AD161" i="1"/>
  <c r="AD175" i="1" s="1"/>
  <c r="AC161" i="1"/>
  <c r="AB161" i="1"/>
  <c r="AA161" i="1"/>
  <c r="Z161" i="1"/>
  <c r="Y161" i="1"/>
  <c r="X161" i="1"/>
  <c r="K161" i="1"/>
  <c r="J161" i="1"/>
  <c r="I161" i="1"/>
  <c r="H161" i="1"/>
  <c r="G161" i="1"/>
  <c r="F161" i="1"/>
  <c r="N159" i="1"/>
  <c r="M159" i="1"/>
  <c r="K158" i="1"/>
  <c r="J158" i="1"/>
  <c r="J159" i="1" s="1"/>
  <c r="I158" i="1"/>
  <c r="H158" i="1"/>
  <c r="G158" i="1"/>
  <c r="F158" i="1"/>
  <c r="K155" i="1"/>
  <c r="K159" i="1" s="1"/>
  <c r="J155" i="1"/>
  <c r="J156" i="1" s="1"/>
  <c r="I155" i="1"/>
  <c r="H155" i="1"/>
  <c r="G155" i="1"/>
  <c r="F155" i="1"/>
  <c r="J154" i="1"/>
  <c r="N153" i="1"/>
  <c r="O153" i="1" s="1"/>
  <c r="P153" i="1" s="1"/>
  <c r="Q153" i="1" s="1"/>
  <c r="R153" i="1" s="1"/>
  <c r="S153" i="1" s="1"/>
  <c r="T153" i="1" s="1"/>
  <c r="U153" i="1" s="1"/>
  <c r="M153" i="1"/>
  <c r="J153" i="1"/>
  <c r="K153" i="1" s="1"/>
  <c r="L153" i="1" s="1"/>
  <c r="J152" i="1"/>
  <c r="L151" i="1"/>
  <c r="L149" i="1"/>
  <c r="L152" i="1" s="1"/>
  <c r="L240" i="1" s="1"/>
  <c r="L258" i="1" s="1"/>
  <c r="K149" i="1"/>
  <c r="J145" i="1"/>
  <c r="I145" i="1"/>
  <c r="H145" i="1"/>
  <c r="G145" i="1"/>
  <c r="F145" i="1"/>
  <c r="F143" i="1"/>
  <c r="J142" i="1"/>
  <c r="I142" i="1"/>
  <c r="H142" i="1"/>
  <c r="G142" i="1"/>
  <c r="F142" i="1"/>
  <c r="F144" i="1" s="1"/>
  <c r="F146" i="1" s="1"/>
  <c r="L141" i="1"/>
  <c r="L250" i="1" s="1"/>
  <c r="J141" i="1"/>
  <c r="I141" i="1"/>
  <c r="H141" i="1"/>
  <c r="G141" i="1"/>
  <c r="F141" i="1"/>
  <c r="K140" i="1"/>
  <c r="J140" i="1"/>
  <c r="I140" i="1"/>
  <c r="H140" i="1"/>
  <c r="G140" i="1"/>
  <c r="F140" i="1"/>
  <c r="H137" i="1"/>
  <c r="J136" i="1"/>
  <c r="I136" i="1"/>
  <c r="H136" i="1"/>
  <c r="J134" i="1"/>
  <c r="I134" i="1"/>
  <c r="J126" i="1" s="1"/>
  <c r="H134" i="1"/>
  <c r="I126" i="1" s="1"/>
  <c r="G134" i="1"/>
  <c r="G136" i="1" s="1"/>
  <c r="F134" i="1"/>
  <c r="I133" i="1"/>
  <c r="I135" i="1" s="1"/>
  <c r="J131" i="1"/>
  <c r="I131" i="1"/>
  <c r="H131" i="1"/>
  <c r="G131" i="1"/>
  <c r="F131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J127" i="1"/>
  <c r="J129" i="1" s="1"/>
  <c r="I127" i="1"/>
  <c r="I129" i="1" s="1"/>
  <c r="H127" i="1"/>
  <c r="H129" i="1" s="1"/>
  <c r="G127" i="1"/>
  <c r="G129" i="1" s="1"/>
  <c r="F127" i="1"/>
  <c r="F129" i="1" s="1"/>
  <c r="F130" i="1" s="1"/>
  <c r="K126" i="1"/>
  <c r="F126" i="1"/>
  <c r="L123" i="1"/>
  <c r="M123" i="1" s="1"/>
  <c r="N123" i="1" s="1"/>
  <c r="O123" i="1" s="1"/>
  <c r="P123" i="1" s="1"/>
  <c r="Q123" i="1" s="1"/>
  <c r="R123" i="1" s="1"/>
  <c r="S123" i="1" s="1"/>
  <c r="T123" i="1" s="1"/>
  <c r="U123" i="1" s="1"/>
  <c r="K122" i="1"/>
  <c r="L122" i="1" s="1"/>
  <c r="J122" i="1"/>
  <c r="F122" i="1"/>
  <c r="AE120" i="1"/>
  <c r="AE108" i="1" s="1"/>
  <c r="AE175" i="1" s="1"/>
  <c r="AE208" i="1" s="1"/>
  <c r="U120" i="1"/>
  <c r="R120" i="1"/>
  <c r="S120" i="1" s="1"/>
  <c r="T120" i="1" s="1"/>
  <c r="K120" i="1"/>
  <c r="L120" i="1" s="1"/>
  <c r="M120" i="1" s="1"/>
  <c r="N120" i="1" s="1"/>
  <c r="O120" i="1" s="1"/>
  <c r="P120" i="1" s="1"/>
  <c r="Q120" i="1" s="1"/>
  <c r="L119" i="1"/>
  <c r="M119" i="1" s="1"/>
  <c r="N119" i="1" s="1"/>
  <c r="O119" i="1" s="1"/>
  <c r="P119" i="1" s="1"/>
  <c r="Q119" i="1" s="1"/>
  <c r="R119" i="1" s="1"/>
  <c r="S119" i="1" s="1"/>
  <c r="T119" i="1" s="1"/>
  <c r="U119" i="1" s="1"/>
  <c r="O118" i="1"/>
  <c r="N118" i="1"/>
  <c r="M118" i="1"/>
  <c r="L118" i="1"/>
  <c r="M117" i="1"/>
  <c r="N117" i="1" s="1"/>
  <c r="O117" i="1" s="1"/>
  <c r="P117" i="1" s="1"/>
  <c r="Q117" i="1" s="1"/>
  <c r="R117" i="1" s="1"/>
  <c r="S117" i="1" s="1"/>
  <c r="T117" i="1" s="1"/>
  <c r="U117" i="1" s="1"/>
  <c r="L117" i="1"/>
  <c r="L116" i="1"/>
  <c r="M116" i="1" s="1"/>
  <c r="N116" i="1" s="1"/>
  <c r="O116" i="1" s="1"/>
  <c r="P116" i="1" s="1"/>
  <c r="Q116" i="1" s="1"/>
  <c r="R116" i="1" s="1"/>
  <c r="S116" i="1" s="1"/>
  <c r="T116" i="1" s="1"/>
  <c r="U116" i="1" s="1"/>
  <c r="L115" i="1"/>
  <c r="AE114" i="1"/>
  <c r="AD114" i="1"/>
  <c r="AC114" i="1"/>
  <c r="AC108" i="1" s="1"/>
  <c r="AB114" i="1"/>
  <c r="AB108" i="1" s="1"/>
  <c r="AB175" i="1" s="1"/>
  <c r="AA114" i="1"/>
  <c r="AA108" i="1" s="1"/>
  <c r="AA175" i="1" s="1"/>
  <c r="AA208" i="1" s="1"/>
  <c r="K114" i="1"/>
  <c r="J114" i="1"/>
  <c r="J108" i="1" s="1"/>
  <c r="J175" i="1" s="1"/>
  <c r="J208" i="1" s="1"/>
  <c r="I114" i="1"/>
  <c r="L112" i="1"/>
  <c r="M112" i="1" s="1"/>
  <c r="N112" i="1" s="1"/>
  <c r="O112" i="1" s="1"/>
  <c r="P112" i="1" s="1"/>
  <c r="Q112" i="1" s="1"/>
  <c r="R112" i="1" s="1"/>
  <c r="S112" i="1" s="1"/>
  <c r="T112" i="1" s="1"/>
  <c r="U112" i="1" s="1"/>
  <c r="AD108" i="1"/>
  <c r="Z108" i="1"/>
  <c r="Z175" i="1" s="1"/>
  <c r="Y108" i="1"/>
  <c r="Y175" i="1" s="1"/>
  <c r="X108" i="1"/>
  <c r="I108" i="1"/>
  <c r="H108" i="1"/>
  <c r="G108" i="1"/>
  <c r="F108" i="1"/>
  <c r="K103" i="1"/>
  <c r="J103" i="1"/>
  <c r="I103" i="1"/>
  <c r="H103" i="1"/>
  <c r="K95" i="1"/>
  <c r="J95" i="1"/>
  <c r="I95" i="1"/>
  <c r="H95" i="1"/>
  <c r="M94" i="1"/>
  <c r="N94" i="1" s="1"/>
  <c r="O94" i="1" s="1"/>
  <c r="P94" i="1" s="1"/>
  <c r="Q94" i="1" s="1"/>
  <c r="R94" i="1" s="1"/>
  <c r="S94" i="1" s="1"/>
  <c r="T94" i="1" s="1"/>
  <c r="U94" i="1" s="1"/>
  <c r="L94" i="1"/>
  <c r="AE90" i="1"/>
  <c r="AC90" i="1"/>
  <c r="AA90" i="1"/>
  <c r="Y90" i="1"/>
  <c r="AE84" i="1"/>
  <c r="AC84" i="1"/>
  <c r="AA84" i="1"/>
  <c r="Y84" i="1"/>
  <c r="J80" i="1"/>
  <c r="I80" i="1"/>
  <c r="H80" i="1"/>
  <c r="G80" i="1"/>
  <c r="F80" i="1"/>
  <c r="I79" i="1"/>
  <c r="H79" i="1"/>
  <c r="G79" i="1"/>
  <c r="K78" i="1"/>
  <c r="J78" i="1"/>
  <c r="J79" i="1" s="1"/>
  <c r="AE76" i="1"/>
  <c r="AC76" i="1"/>
  <c r="AA76" i="1"/>
  <c r="Y76" i="1"/>
  <c r="AE74" i="1"/>
  <c r="AC74" i="1"/>
  <c r="AA74" i="1"/>
  <c r="Y74" i="1"/>
  <c r="AE72" i="1"/>
  <c r="AD72" i="1"/>
  <c r="AD242" i="1" s="1"/>
  <c r="AB72" i="1"/>
  <c r="AA72" i="1"/>
  <c r="Y72" i="1"/>
  <c r="K72" i="1"/>
  <c r="K242" i="1" s="1"/>
  <c r="J72" i="1"/>
  <c r="I72" i="1"/>
  <c r="I242" i="1" s="1"/>
  <c r="J70" i="1"/>
  <c r="I70" i="1"/>
  <c r="H70" i="1"/>
  <c r="G70" i="1"/>
  <c r="F70" i="1"/>
  <c r="J69" i="1"/>
  <c r="I69" i="1"/>
  <c r="H69" i="1"/>
  <c r="G69" i="1"/>
  <c r="F69" i="1"/>
  <c r="K68" i="1"/>
  <c r="K70" i="1" s="1"/>
  <c r="K67" i="1"/>
  <c r="J67" i="1"/>
  <c r="I67" i="1"/>
  <c r="H67" i="1"/>
  <c r="G67" i="1"/>
  <c r="AE65" i="1"/>
  <c r="AC65" i="1"/>
  <c r="AA65" i="1"/>
  <c r="Y65" i="1"/>
  <c r="AD63" i="1"/>
  <c r="AD62" i="1"/>
  <c r="AD82" i="1" s="1"/>
  <c r="AB62" i="1"/>
  <c r="AD56" i="1"/>
  <c r="AB56" i="1"/>
  <c r="Z56" i="1"/>
  <c r="X56" i="1"/>
  <c r="L56" i="1"/>
  <c r="J56" i="1"/>
  <c r="I56" i="1"/>
  <c r="H56" i="1"/>
  <c r="G56" i="1"/>
  <c r="F56" i="1"/>
  <c r="AD55" i="1"/>
  <c r="AC55" i="1"/>
  <c r="AB55" i="1"/>
  <c r="AA55" i="1"/>
  <c r="Z55" i="1"/>
  <c r="X55" i="1"/>
  <c r="K55" i="1"/>
  <c r="J55" i="1"/>
  <c r="I55" i="1"/>
  <c r="H55" i="1"/>
  <c r="G55" i="1"/>
  <c r="F55" i="1"/>
  <c r="AD54" i="1"/>
  <c r="AB54" i="1"/>
  <c r="Z54" i="1"/>
  <c r="X54" i="1"/>
  <c r="J54" i="1"/>
  <c r="I54" i="1"/>
  <c r="H54" i="1"/>
  <c r="G54" i="1"/>
  <c r="F54" i="1"/>
  <c r="AD53" i="1"/>
  <c r="AC53" i="1"/>
  <c r="AB53" i="1"/>
  <c r="AA53" i="1"/>
  <c r="Z53" i="1"/>
  <c r="X53" i="1"/>
  <c r="J53" i="1"/>
  <c r="K53" i="1" s="1"/>
  <c r="L53" i="1" s="1"/>
  <c r="M53" i="1" s="1"/>
  <c r="N53" i="1" s="1"/>
  <c r="O53" i="1" s="1"/>
  <c r="I53" i="1"/>
  <c r="H53" i="1"/>
  <c r="G53" i="1"/>
  <c r="F53" i="1"/>
  <c r="AD52" i="1"/>
  <c r="AB52" i="1"/>
  <c r="Z52" i="1"/>
  <c r="X52" i="1"/>
  <c r="J52" i="1"/>
  <c r="I52" i="1"/>
  <c r="H52" i="1"/>
  <c r="G52" i="1"/>
  <c r="F52" i="1"/>
  <c r="AE51" i="1"/>
  <c r="AD51" i="1"/>
  <c r="AC51" i="1"/>
  <c r="AB51" i="1"/>
  <c r="Z51" i="1"/>
  <c r="X51" i="1"/>
  <c r="K51" i="1"/>
  <c r="J51" i="1"/>
  <c r="I51" i="1"/>
  <c r="H51" i="1"/>
  <c r="G51" i="1"/>
  <c r="F51" i="1"/>
  <c r="AE48" i="1"/>
  <c r="AE56" i="1" s="1"/>
  <c r="AC48" i="1"/>
  <c r="AC56" i="1" s="1"/>
  <c r="AA48" i="1"/>
  <c r="AA56" i="1" s="1"/>
  <c r="Z48" i="1"/>
  <c r="Y48" i="1"/>
  <c r="I48" i="1"/>
  <c r="I35" i="1" s="1"/>
  <c r="K47" i="1"/>
  <c r="L47" i="1" s="1"/>
  <c r="J47" i="1"/>
  <c r="I47" i="1"/>
  <c r="H47" i="1"/>
  <c r="AE46" i="1"/>
  <c r="AC46" i="1"/>
  <c r="AA46" i="1"/>
  <c r="Y46" i="1"/>
  <c r="Y55" i="1" s="1"/>
  <c r="L46" i="1"/>
  <c r="AE45" i="1"/>
  <c r="AE54" i="1" s="1"/>
  <c r="AC45" i="1"/>
  <c r="AC54" i="1" s="1"/>
  <c r="AA45" i="1"/>
  <c r="AA54" i="1" s="1"/>
  <c r="Y45" i="1"/>
  <c r="AE44" i="1"/>
  <c r="AC44" i="1"/>
  <c r="AA44" i="1"/>
  <c r="Y44" i="1"/>
  <c r="AD43" i="1"/>
  <c r="AB43" i="1"/>
  <c r="J43" i="1"/>
  <c r="AE42" i="1"/>
  <c r="AC42" i="1"/>
  <c r="AA42" i="1"/>
  <c r="AA52" i="1" s="1"/>
  <c r="Y42" i="1"/>
  <c r="Y52" i="1" s="1"/>
  <c r="AA40" i="1"/>
  <c r="L40" i="1"/>
  <c r="M40" i="1" s="1"/>
  <c r="K40" i="1"/>
  <c r="J40" i="1"/>
  <c r="I40" i="1"/>
  <c r="AD39" i="1"/>
  <c r="AC39" i="1"/>
  <c r="AB39" i="1"/>
  <c r="AA39" i="1"/>
  <c r="J39" i="1"/>
  <c r="I39" i="1"/>
  <c r="K38" i="1"/>
  <c r="AE37" i="1"/>
  <c r="AC37" i="1"/>
  <c r="AC40" i="1" s="1"/>
  <c r="AA37" i="1"/>
  <c r="Y37" i="1"/>
  <c r="AB36" i="1"/>
  <c r="I36" i="1"/>
  <c r="H36" i="1"/>
  <c r="G36" i="1"/>
  <c r="AD35" i="1"/>
  <c r="AD36" i="1" s="1"/>
  <c r="AB35" i="1"/>
  <c r="Z35" i="1"/>
  <c r="Y35" i="1"/>
  <c r="X35" i="1"/>
  <c r="K35" i="1"/>
  <c r="K36" i="1" s="1"/>
  <c r="J35" i="1"/>
  <c r="J36" i="1" s="1"/>
  <c r="H35" i="1"/>
  <c r="G35" i="1"/>
  <c r="F35" i="1"/>
  <c r="AD33" i="1"/>
  <c r="AB33" i="1"/>
  <c r="K33" i="1"/>
  <c r="J33" i="1"/>
  <c r="I33" i="1"/>
  <c r="H33" i="1"/>
  <c r="AD32" i="1"/>
  <c r="AB32" i="1"/>
  <c r="AA32" i="1"/>
  <c r="Z32" i="1"/>
  <c r="X32" i="1"/>
  <c r="K32" i="1"/>
  <c r="J32" i="1"/>
  <c r="J62" i="1" s="1"/>
  <c r="I32" i="1"/>
  <c r="I62" i="1" s="1"/>
  <c r="H32" i="1"/>
  <c r="H62" i="1" s="1"/>
  <c r="G32" i="1"/>
  <c r="F32" i="1"/>
  <c r="F62" i="1" s="1"/>
  <c r="Y30" i="1"/>
  <c r="Y29" i="1"/>
  <c r="Z28" i="1"/>
  <c r="X28" i="1"/>
  <c r="H28" i="1"/>
  <c r="G28" i="1"/>
  <c r="F28" i="1"/>
  <c r="Y27" i="1"/>
  <c r="Y28" i="1" s="1"/>
  <c r="AE25" i="1"/>
  <c r="AE32" i="1" s="1"/>
  <c r="AC25" i="1"/>
  <c r="AA25" i="1"/>
  <c r="Y25" i="1"/>
  <c r="AD23" i="1"/>
  <c r="AB23" i="1"/>
  <c r="AA23" i="1"/>
  <c r="Z23" i="1"/>
  <c r="X23" i="1"/>
  <c r="K23" i="1"/>
  <c r="J23" i="1"/>
  <c r="I23" i="1"/>
  <c r="H23" i="1"/>
  <c r="G23" i="1"/>
  <c r="F23" i="1"/>
  <c r="AE22" i="1"/>
  <c r="AD22" i="1"/>
  <c r="AC22" i="1"/>
  <c r="AB22" i="1"/>
  <c r="AA22" i="1"/>
  <c r="Z22" i="1"/>
  <c r="X22" i="1"/>
  <c r="K22" i="1"/>
  <c r="J22" i="1"/>
  <c r="I22" i="1"/>
  <c r="H22" i="1"/>
  <c r="G22" i="1"/>
  <c r="F22" i="1"/>
  <c r="AD21" i="1"/>
  <c r="AB21" i="1"/>
  <c r="AA21" i="1"/>
  <c r="Z21" i="1"/>
  <c r="X21" i="1"/>
  <c r="K21" i="1"/>
  <c r="J21" i="1"/>
  <c r="I21" i="1"/>
  <c r="H21" i="1"/>
  <c r="G21" i="1"/>
  <c r="F21" i="1"/>
  <c r="AD20" i="1"/>
  <c r="AB20" i="1"/>
  <c r="AA20" i="1"/>
  <c r="Z20" i="1"/>
  <c r="X20" i="1"/>
  <c r="K20" i="1"/>
  <c r="J20" i="1"/>
  <c r="I20" i="1"/>
  <c r="H20" i="1"/>
  <c r="G20" i="1"/>
  <c r="F20" i="1"/>
  <c r="AE19" i="1"/>
  <c r="AD19" i="1"/>
  <c r="AB19" i="1"/>
  <c r="Z19" i="1"/>
  <c r="X19" i="1"/>
  <c r="K19" i="1"/>
  <c r="J19" i="1"/>
  <c r="I19" i="1"/>
  <c r="H19" i="1"/>
  <c r="G19" i="1"/>
  <c r="F19" i="1"/>
  <c r="AE16" i="1"/>
  <c r="AE23" i="1" s="1"/>
  <c r="AC16" i="1"/>
  <c r="AC23" i="1" s="1"/>
  <c r="AA16" i="1"/>
  <c r="Y16" i="1"/>
  <c r="AD15" i="1"/>
  <c r="AB15" i="1"/>
  <c r="Z15" i="1"/>
  <c r="K15" i="1"/>
  <c r="J15" i="1"/>
  <c r="I15" i="1"/>
  <c r="H15" i="1"/>
  <c r="G15" i="1"/>
  <c r="AE14" i="1"/>
  <c r="AC14" i="1"/>
  <c r="AE15" i="1" s="1"/>
  <c r="AA14" i="1"/>
  <c r="AA15" i="1" s="1"/>
  <c r="Y14" i="1"/>
  <c r="N14" i="1"/>
  <c r="M14" i="1"/>
  <c r="L14" i="1"/>
  <c r="AD13" i="1"/>
  <c r="AB13" i="1"/>
  <c r="AA13" i="1"/>
  <c r="Z13" i="1"/>
  <c r="K13" i="1"/>
  <c r="J13" i="1"/>
  <c r="I13" i="1"/>
  <c r="H13" i="1"/>
  <c r="G13" i="1"/>
  <c r="AE12" i="1"/>
  <c r="AC12" i="1"/>
  <c r="AA12" i="1"/>
  <c r="Y12" i="1"/>
  <c r="M12" i="1"/>
  <c r="L12" i="1"/>
  <c r="AD11" i="1"/>
  <c r="AC11" i="1"/>
  <c r="AB11" i="1"/>
  <c r="AA11" i="1"/>
  <c r="Z11" i="1"/>
  <c r="K11" i="1"/>
  <c r="AE10" i="1"/>
  <c r="AE11" i="1" s="1"/>
  <c r="AC10" i="1"/>
  <c r="AA10" i="1"/>
  <c r="Y10" i="1"/>
  <c r="L10" i="1"/>
  <c r="AE9" i="1"/>
  <c r="AD9" i="1"/>
  <c r="AC9" i="1"/>
  <c r="AB9" i="1"/>
  <c r="Z9" i="1"/>
  <c r="K9" i="1"/>
  <c r="J9" i="1"/>
  <c r="I9" i="1"/>
  <c r="H9" i="1"/>
  <c r="G9" i="1"/>
  <c r="AE8" i="1"/>
  <c r="AC8" i="1"/>
  <c r="AC19" i="1" s="1"/>
  <c r="AA8" i="1"/>
  <c r="Y8" i="1"/>
  <c r="AE6" i="1"/>
  <c r="AD6" i="1"/>
  <c r="AC6" i="1"/>
  <c r="AB6" i="1"/>
  <c r="Z6" i="1"/>
  <c r="K6" i="1"/>
  <c r="J6" i="1"/>
  <c r="I6" i="1"/>
  <c r="H6" i="1"/>
  <c r="G6" i="1"/>
  <c r="AE5" i="1"/>
  <c r="AE53" i="1" s="1"/>
  <c r="AC5" i="1"/>
  <c r="AC32" i="1" s="1"/>
  <c r="AC33" i="1" s="1"/>
  <c r="AA5" i="1"/>
  <c r="Y5" i="1"/>
  <c r="Y21" i="1" s="1"/>
  <c r="G130" i="1" l="1"/>
  <c r="N40" i="1"/>
  <c r="AE21" i="1"/>
  <c r="AE13" i="1"/>
  <c r="Z62" i="1"/>
  <c r="Z33" i="1"/>
  <c r="AA33" i="1"/>
  <c r="Z36" i="1"/>
  <c r="Y23" i="1"/>
  <c r="Y19" i="1"/>
  <c r="Y20" i="1"/>
  <c r="H82" i="1"/>
  <c r="H63" i="1"/>
  <c r="Y53" i="1"/>
  <c r="M56" i="1"/>
  <c r="O252" i="1"/>
  <c r="AC270" i="1"/>
  <c r="AC271" i="1" s="1"/>
  <c r="AC253" i="1"/>
  <c r="L114" i="1"/>
  <c r="M114" i="1" s="1"/>
  <c r="N114" i="1" s="1"/>
  <c r="O114" i="1" s="1"/>
  <c r="P114" i="1" s="1"/>
  <c r="Q114" i="1" s="1"/>
  <c r="R114" i="1" s="1"/>
  <c r="S114" i="1" s="1"/>
  <c r="T114" i="1" s="1"/>
  <c r="U114" i="1" s="1"/>
  <c r="K108" i="1"/>
  <c r="K175" i="1" s="1"/>
  <c r="K152" i="1"/>
  <c r="K240" i="1" s="1"/>
  <c r="P252" i="1"/>
  <c r="Q172" i="1"/>
  <c r="P118" i="1"/>
  <c r="M252" i="1"/>
  <c r="G208" i="1"/>
  <c r="J137" i="1"/>
  <c r="I137" i="1"/>
  <c r="I63" i="1"/>
  <c r="I59" i="1"/>
  <c r="I60" i="1" s="1"/>
  <c r="X62" i="1"/>
  <c r="X33" i="1"/>
  <c r="AA6" i="1"/>
  <c r="K62" i="1"/>
  <c r="M46" i="1"/>
  <c r="AC175" i="1"/>
  <c r="AC208" i="1" s="1"/>
  <c r="AD195" i="1"/>
  <c r="AD208" i="1" s="1"/>
  <c r="J144" i="1"/>
  <c r="J146" i="1" s="1"/>
  <c r="J143" i="1"/>
  <c r="K143" i="1" s="1"/>
  <c r="L143" i="1" s="1"/>
  <c r="M143" i="1" s="1"/>
  <c r="N143" i="1" s="1"/>
  <c r="O143" i="1" s="1"/>
  <c r="P143" i="1" s="1"/>
  <c r="Q143" i="1" s="1"/>
  <c r="R143" i="1" s="1"/>
  <c r="S143" i="1" s="1"/>
  <c r="T143" i="1" s="1"/>
  <c r="U143" i="1" s="1"/>
  <c r="N190" i="1"/>
  <c r="M226" i="1"/>
  <c r="AC13" i="1"/>
  <c r="AC21" i="1"/>
  <c r="AB63" i="1"/>
  <c r="AB82" i="1"/>
  <c r="H144" i="1"/>
  <c r="H146" i="1" s="1"/>
  <c r="H143" i="1"/>
  <c r="N12" i="1"/>
  <c r="AD85" i="1"/>
  <c r="AD87" i="1"/>
  <c r="I144" i="1"/>
  <c r="I146" i="1" s="1"/>
  <c r="I143" i="1"/>
  <c r="AE62" i="1"/>
  <c r="F33" i="1"/>
  <c r="AE33" i="1"/>
  <c r="AE35" i="1"/>
  <c r="Y51" i="1"/>
  <c r="AC52" i="1"/>
  <c r="AC35" i="1"/>
  <c r="AC43" i="1"/>
  <c r="H59" i="1"/>
  <c r="H60" i="1" s="1"/>
  <c r="AB241" i="1"/>
  <c r="Y32" i="1"/>
  <c r="Y54" i="1"/>
  <c r="Y22" i="1"/>
  <c r="J59" i="1"/>
  <c r="J60" i="1" s="1"/>
  <c r="J63" i="1"/>
  <c r="J82" i="1"/>
  <c r="M10" i="1"/>
  <c r="F132" i="1"/>
  <c r="F133" i="1"/>
  <c r="K131" i="1"/>
  <c r="K238" i="1" s="1"/>
  <c r="N198" i="1"/>
  <c r="AC15" i="1"/>
  <c r="F82" i="1"/>
  <c r="F63" i="1"/>
  <c r="F59" i="1"/>
  <c r="F60" i="1" s="1"/>
  <c r="O14" i="1"/>
  <c r="J41" i="1"/>
  <c r="P53" i="1"/>
  <c r="I82" i="1"/>
  <c r="N252" i="1"/>
  <c r="K221" i="1"/>
  <c r="L221" i="1" s="1"/>
  <c r="K212" i="1"/>
  <c r="K79" i="1"/>
  <c r="L79" i="1" s="1"/>
  <c r="K80" i="1"/>
  <c r="AE20" i="1"/>
  <c r="AE55" i="1"/>
  <c r="Y56" i="1"/>
  <c r="AE52" i="1"/>
  <c r="AA242" i="1"/>
  <c r="G144" i="1"/>
  <c r="G146" i="1" s="1"/>
  <c r="G143" i="1"/>
  <c r="J212" i="1"/>
  <c r="AB361" i="1"/>
  <c r="AB392" i="1" s="1"/>
  <c r="AB398" i="1" s="1"/>
  <c r="AB345" i="1"/>
  <c r="X378" i="1"/>
  <c r="X372" i="1"/>
  <c r="Y410" i="1"/>
  <c r="Y412" i="1" s="1"/>
  <c r="AD361" i="1"/>
  <c r="AD392" i="1" s="1"/>
  <c r="AD398" i="1" s="1"/>
  <c r="AD345" i="1"/>
  <c r="AA378" i="1"/>
  <c r="AA372" i="1"/>
  <c r="AD318" i="1"/>
  <c r="AD319" i="1"/>
  <c r="AD320" i="1"/>
  <c r="AE361" i="1"/>
  <c r="AE345" i="1"/>
  <c r="K455" i="1"/>
  <c r="K444" i="1"/>
  <c r="F354" i="1"/>
  <c r="F364" i="1"/>
  <c r="F335" i="1"/>
  <c r="M227" i="1"/>
  <c r="G306" i="1"/>
  <c r="G308" i="1" s="1"/>
  <c r="F310" i="1"/>
  <c r="F309" i="1"/>
  <c r="AA19" i="1"/>
  <c r="M122" i="1"/>
  <c r="AC266" i="1"/>
  <c r="AE318" i="1"/>
  <c r="AE317" i="1"/>
  <c r="AE319" i="1"/>
  <c r="G364" i="1"/>
  <c r="G342" i="1"/>
  <c r="G335" i="1"/>
  <c r="AC412" i="1"/>
  <c r="H229" i="1"/>
  <c r="H241" i="1"/>
  <c r="AA9" i="1"/>
  <c r="AC20" i="1"/>
  <c r="AA35" i="1"/>
  <c r="AA36" i="1" s="1"/>
  <c r="AB40" i="1"/>
  <c r="J242" i="1"/>
  <c r="AC72" i="1"/>
  <c r="AC242" i="1" s="1"/>
  <c r="Z208" i="1"/>
  <c r="L219" i="1"/>
  <c r="M225" i="1"/>
  <c r="M228" i="1"/>
  <c r="H283" i="1"/>
  <c r="G283" i="1"/>
  <c r="L284" i="1"/>
  <c r="M284" i="1" s="1"/>
  <c r="N284" i="1" s="1"/>
  <c r="O284" i="1" s="1"/>
  <c r="P284" i="1" s="1"/>
  <c r="Q284" i="1" s="1"/>
  <c r="R284" i="1" s="1"/>
  <c r="S284" i="1" s="1"/>
  <c r="T284" i="1" s="1"/>
  <c r="U284" i="1" s="1"/>
  <c r="K355" i="1"/>
  <c r="H364" i="1"/>
  <c r="H335" i="1"/>
  <c r="H342" i="1"/>
  <c r="Y336" i="1"/>
  <c r="H354" i="1"/>
  <c r="AD40" i="1"/>
  <c r="AA51" i="1"/>
  <c r="M115" i="1"/>
  <c r="M141" i="1"/>
  <c r="O159" i="1"/>
  <c r="I229" i="1"/>
  <c r="I241" i="1"/>
  <c r="G226" i="1"/>
  <c r="G212" i="1"/>
  <c r="Y271" i="1"/>
  <c r="I261" i="1"/>
  <c r="G266" i="1"/>
  <c r="F268" i="1"/>
  <c r="J133" i="1"/>
  <c r="J135" i="1" s="1"/>
  <c r="J132" i="1"/>
  <c r="K132" i="1" s="1"/>
  <c r="L132" i="1" s="1"/>
  <c r="M132" i="1" s="1"/>
  <c r="N132" i="1" s="1"/>
  <c r="O132" i="1" s="1"/>
  <c r="P132" i="1" s="1"/>
  <c r="Q132" i="1" s="1"/>
  <c r="R132" i="1" s="1"/>
  <c r="S132" i="1" s="1"/>
  <c r="T132" i="1" s="1"/>
  <c r="U132" i="1" s="1"/>
  <c r="F208" i="1"/>
  <c r="AA253" i="1"/>
  <c r="N325" i="1"/>
  <c r="AA343" i="1"/>
  <c r="AA359" i="1"/>
  <c r="AA325" i="1"/>
  <c r="J355" i="1"/>
  <c r="Y327" i="1"/>
  <c r="F135" i="1"/>
  <c r="L150" i="1"/>
  <c r="L154" i="1" s="1"/>
  <c r="L155" i="1" s="1"/>
  <c r="M151" i="1"/>
  <c r="M191" i="1"/>
  <c r="L256" i="1"/>
  <c r="H266" i="1"/>
  <c r="H268" i="1" s="1"/>
  <c r="G268" i="1"/>
  <c r="AA306" i="1"/>
  <c r="Z310" i="1"/>
  <c r="AA308" i="1"/>
  <c r="X365" i="1"/>
  <c r="X363" i="1" s="1"/>
  <c r="X369" i="1" s="1"/>
  <c r="X335" i="1"/>
  <c r="Y338" i="1"/>
  <c r="H344" i="1"/>
  <c r="H350" i="1"/>
  <c r="H366" i="1"/>
  <c r="X376" i="1"/>
  <c r="X370" i="1"/>
  <c r="K396" i="1"/>
  <c r="L396" i="1" s="1"/>
  <c r="L390" i="1" s="1"/>
  <c r="AA408" i="1"/>
  <c r="G126" i="1"/>
  <c r="F136" i="1"/>
  <c r="G137" i="1" s="1"/>
  <c r="K195" i="1"/>
  <c r="F221" i="1"/>
  <c r="AC294" i="1"/>
  <c r="AA294" i="1"/>
  <c r="AA321" i="1"/>
  <c r="Z309" i="1"/>
  <c r="Z320" i="1"/>
  <c r="M327" i="1"/>
  <c r="I323" i="1"/>
  <c r="Y337" i="1"/>
  <c r="I350" i="1"/>
  <c r="AA338" i="1"/>
  <c r="I344" i="1"/>
  <c r="J344" i="1"/>
  <c r="K371" i="1"/>
  <c r="G62" i="1"/>
  <c r="G33" i="1"/>
  <c r="H126" i="1"/>
  <c r="I132" i="1"/>
  <c r="AC212" i="1"/>
  <c r="H261" i="1"/>
  <c r="Q312" i="1"/>
  <c r="AE309" i="1"/>
  <c r="J323" i="1"/>
  <c r="K341" i="1"/>
  <c r="J341" i="1"/>
  <c r="J351" i="1"/>
  <c r="F377" i="1"/>
  <c r="F371" i="1"/>
  <c r="Z365" i="1"/>
  <c r="Z343" i="1"/>
  <c r="AC338" i="1"/>
  <c r="K344" i="1"/>
  <c r="J350" i="1"/>
  <c r="J360" i="1"/>
  <c r="J391" i="1" s="1"/>
  <c r="G378" i="1"/>
  <c r="G372" i="1"/>
  <c r="AC256" i="1"/>
  <c r="AC261" i="1" s="1"/>
  <c r="Z268" i="1"/>
  <c r="AA266" i="1"/>
  <c r="AD317" i="1"/>
  <c r="AE358" i="1"/>
  <c r="I351" i="1"/>
  <c r="G377" i="1"/>
  <c r="G371" i="1"/>
  <c r="AA261" i="1"/>
  <c r="AA263" i="1"/>
  <c r="K282" i="1"/>
  <c r="J354" i="1"/>
  <c r="R312" i="1"/>
  <c r="M324" i="1"/>
  <c r="AA342" i="1"/>
  <c r="AA358" i="1"/>
  <c r="J359" i="1"/>
  <c r="J390" i="1" s="1"/>
  <c r="J343" i="1"/>
  <c r="AC337" i="1"/>
  <c r="J349" i="1"/>
  <c r="G345" i="1"/>
  <c r="F367" i="1"/>
  <c r="AD396" i="1"/>
  <c r="J367" i="1"/>
  <c r="AC373" i="1"/>
  <c r="AC363" i="1"/>
  <c r="AC369" i="1" s="1"/>
  <c r="AA270" i="1"/>
  <c r="AA271" i="1" s="1"/>
  <c r="I266" i="1"/>
  <c r="I268" i="1" s="1"/>
  <c r="J283" i="1"/>
  <c r="G301" i="1"/>
  <c r="G321" i="1"/>
  <c r="G302" i="1"/>
  <c r="G304" i="1"/>
  <c r="AE308" i="1"/>
  <c r="S312" i="1"/>
  <c r="G373" i="1"/>
  <c r="G379" i="1"/>
  <c r="AA371" i="1"/>
  <c r="AA363" i="1"/>
  <c r="AA369" i="1" s="1"/>
  <c r="AD379" i="1"/>
  <c r="AD373" i="1"/>
  <c r="AA377" i="1"/>
  <c r="J411" i="1"/>
  <c r="I412" i="1"/>
  <c r="AB177" i="1"/>
  <c r="AB195" i="1" s="1"/>
  <c r="AB208" i="1" s="1"/>
  <c r="AC263" i="1"/>
  <c r="L312" i="1"/>
  <c r="L290" i="1" s="1"/>
  <c r="AD395" i="1"/>
  <c r="K376" i="1"/>
  <c r="K370" i="1"/>
  <c r="K367" i="1"/>
  <c r="K363" i="1" s="1"/>
  <c r="AE373" i="1"/>
  <c r="AE379" i="1"/>
  <c r="M408" i="1"/>
  <c r="G436" i="1"/>
  <c r="Z364" i="1"/>
  <c r="Z335" i="1"/>
  <c r="I349" i="1"/>
  <c r="G343" i="1"/>
  <c r="AC378" i="1"/>
  <c r="X408" i="1"/>
  <c r="X323" i="1"/>
  <c r="AA400" i="1"/>
  <c r="AA324" i="1"/>
  <c r="AA330" i="1" s="1"/>
  <c r="AB412" i="1"/>
  <c r="J455" i="1"/>
  <c r="J449" i="1" s="1"/>
  <c r="K306" i="1"/>
  <c r="M326" i="1"/>
  <c r="F355" i="1"/>
  <c r="AB343" i="1"/>
  <c r="Z366" i="1"/>
  <c r="Z344" i="1"/>
  <c r="I361" i="1"/>
  <c r="I392" i="1" s="1"/>
  <c r="I398" i="1" s="1"/>
  <c r="AA339" i="1"/>
  <c r="I345" i="1"/>
  <c r="Z342" i="1"/>
  <c r="J364" i="1"/>
  <c r="AC370" i="1"/>
  <c r="J372" i="1"/>
  <c r="J378" i="1"/>
  <c r="AE401" i="1"/>
  <c r="AE410" i="1"/>
  <c r="H436" i="1"/>
  <c r="H321" i="1"/>
  <c r="H304" i="1"/>
  <c r="AB294" i="1"/>
  <c r="N312" i="1"/>
  <c r="P312" i="1"/>
  <c r="AB335" i="1"/>
  <c r="K358" i="1"/>
  <c r="K389" i="1" s="1"/>
  <c r="AD343" i="1"/>
  <c r="AE337" i="1"/>
  <c r="AE335" i="1" s="1"/>
  <c r="AC339" i="1"/>
  <c r="J345" i="1"/>
  <c r="AB342" i="1"/>
  <c r="K345" i="1"/>
  <c r="AD371" i="1"/>
  <c r="F378" i="1"/>
  <c r="X410" i="1"/>
  <c r="X412" i="1" s="1"/>
  <c r="I283" i="1"/>
  <c r="I321" i="1"/>
  <c r="I294" i="1"/>
  <c r="I304" i="1"/>
  <c r="AC306" i="1"/>
  <c r="L321" i="1"/>
  <c r="K329" i="1"/>
  <c r="AD335" i="1"/>
  <c r="H377" i="1"/>
  <c r="H371" i="1"/>
  <c r="AE371" i="1"/>
  <c r="AE363" i="1"/>
  <c r="AE369" i="1" s="1"/>
  <c r="X373" i="1"/>
  <c r="AC376" i="1"/>
  <c r="Y324" i="1"/>
  <c r="AD411" i="1"/>
  <c r="I379" i="1"/>
  <c r="I373" i="1"/>
  <c r="AD342" i="1"/>
  <c r="G351" i="1"/>
  <c r="Z379" i="1"/>
  <c r="AC401" i="1"/>
  <c r="AC336" i="1"/>
  <c r="J358" i="1"/>
  <c r="J389" i="1" s="1"/>
  <c r="H345" i="1"/>
  <c r="I342" i="1"/>
  <c r="H351" i="1"/>
  <c r="H367" i="1"/>
  <c r="G396" i="1"/>
  <c r="AE376" i="1"/>
  <c r="K495" i="1"/>
  <c r="I455" i="1"/>
  <c r="K468" i="1"/>
  <c r="K474" i="1" s="1"/>
  <c r="I449" i="1"/>
  <c r="Z410" i="1"/>
  <c r="Z408" i="1"/>
  <c r="J401" i="1"/>
  <c r="Z401" i="1"/>
  <c r="X421" i="1"/>
  <c r="I480" i="1"/>
  <c r="I474" i="1" s="1"/>
  <c r="G410" i="1"/>
  <c r="G408" i="1"/>
  <c r="AC379" i="1"/>
  <c r="Z421" i="1"/>
  <c r="G449" i="1"/>
  <c r="J480" i="1"/>
  <c r="J474" i="1" s="1"/>
  <c r="K360" i="1"/>
  <c r="K391" i="1" s="1"/>
  <c r="K348" i="1"/>
  <c r="H410" i="1"/>
  <c r="H408" i="1"/>
  <c r="AB401" i="1"/>
  <c r="Y408" i="1"/>
  <c r="Y422" i="1"/>
  <c r="Y415" i="1"/>
  <c r="Y421" i="1" s="1"/>
  <c r="H449" i="1"/>
  <c r="H493" i="1"/>
  <c r="G493" i="1"/>
  <c r="AB372" i="1"/>
  <c r="M390" i="1" l="1"/>
  <c r="L359" i="1"/>
  <c r="L158" i="1"/>
  <c r="M149" i="1"/>
  <c r="L111" i="1"/>
  <c r="AE357" i="1"/>
  <c r="AE341" i="1"/>
  <c r="K375" i="1"/>
  <c r="K369" i="1"/>
  <c r="K357" i="1"/>
  <c r="K388" i="1" s="1"/>
  <c r="Z411" i="1"/>
  <c r="Z412" i="1"/>
  <c r="G341" i="1"/>
  <c r="G349" i="1"/>
  <c r="G323" i="1"/>
  <c r="G329" i="1" s="1"/>
  <c r="AB323" i="1"/>
  <c r="AB357" i="1"/>
  <c r="AB388" i="1" s="1"/>
  <c r="AB341" i="1"/>
  <c r="AC358" i="1"/>
  <c r="AC335" i="1"/>
  <c r="AC342" i="1"/>
  <c r="AC324" i="1"/>
  <c r="AC330" i="1" s="1"/>
  <c r="G350" i="1"/>
  <c r="Z323" i="1"/>
  <c r="Z329" i="1" s="1"/>
  <c r="Z341" i="1"/>
  <c r="H379" i="1"/>
  <c r="H373" i="1"/>
  <c r="Y367" i="1"/>
  <c r="M306" i="1"/>
  <c r="L288" i="1"/>
  <c r="L42" i="1"/>
  <c r="AA345" i="1"/>
  <c r="AA327" i="1"/>
  <c r="AA333" i="1" s="1"/>
  <c r="AA361" i="1"/>
  <c r="K310" i="1"/>
  <c r="K309" i="1"/>
  <c r="K308" i="1"/>
  <c r="N324" i="1"/>
  <c r="AE342" i="1"/>
  <c r="Y359" i="1"/>
  <c r="Y325" i="1"/>
  <c r="H378" i="1"/>
  <c r="H372" i="1"/>
  <c r="Y366" i="1"/>
  <c r="M250" i="1"/>
  <c r="N141" i="1"/>
  <c r="N228" i="1"/>
  <c r="AC268" i="1"/>
  <c r="Q252" i="1"/>
  <c r="R172" i="1"/>
  <c r="H341" i="1"/>
  <c r="H349" i="1"/>
  <c r="H323" i="1"/>
  <c r="H329" i="1" s="1"/>
  <c r="J229" i="1"/>
  <c r="J241" i="1"/>
  <c r="P14" i="1"/>
  <c r="AE82" i="1"/>
  <c r="AE63" i="1"/>
  <c r="O190" i="1"/>
  <c r="N46" i="1"/>
  <c r="AA62" i="1"/>
  <c r="O40" i="1"/>
  <c r="AA310" i="1"/>
  <c r="AB306" i="1"/>
  <c r="AA309" i="1"/>
  <c r="AB87" i="1"/>
  <c r="AB85" i="1"/>
  <c r="K63" i="1"/>
  <c r="K82" i="1"/>
  <c r="G63" i="1"/>
  <c r="G59" i="1"/>
  <c r="G60" i="1" s="1"/>
  <c r="G82" i="1"/>
  <c r="N115" i="1"/>
  <c r="M219" i="1"/>
  <c r="I329" i="1"/>
  <c r="H376" i="1"/>
  <c r="H363" i="1"/>
  <c r="H370" i="1"/>
  <c r="Y364" i="1"/>
  <c r="N225" i="1"/>
  <c r="G348" i="1"/>
  <c r="N122" i="1"/>
  <c r="M79" i="1"/>
  <c r="L78" i="1"/>
  <c r="L76" i="1" s="1"/>
  <c r="H411" i="1"/>
  <c r="H412" i="1"/>
  <c r="G412" i="1"/>
  <c r="G411" i="1"/>
  <c r="AC309" i="1"/>
  <c r="AC310" i="1"/>
  <c r="AC308" i="1"/>
  <c r="Z378" i="1"/>
  <c r="I366" i="1"/>
  <c r="Z372" i="1"/>
  <c r="N408" i="1"/>
  <c r="AA268" i="1"/>
  <c r="AC326" i="1"/>
  <c r="AC332" i="1" s="1"/>
  <c r="AC344" i="1"/>
  <c r="AE344" i="1"/>
  <c r="AC360" i="1"/>
  <c r="I341" i="1"/>
  <c r="Y326" i="1"/>
  <c r="Y360" i="1"/>
  <c r="AA331" i="1"/>
  <c r="G241" i="1"/>
  <c r="G229" i="1"/>
  <c r="L121" i="1"/>
  <c r="N227" i="1"/>
  <c r="K241" i="1"/>
  <c r="K229" i="1"/>
  <c r="AC36" i="1"/>
  <c r="AC62" i="1"/>
  <c r="K258" i="1"/>
  <c r="K54" i="1"/>
  <c r="H87" i="1"/>
  <c r="H85" i="1"/>
  <c r="H310" i="1"/>
  <c r="H309" i="1"/>
  <c r="H122" i="1"/>
  <c r="I306" i="1"/>
  <c r="J363" i="1"/>
  <c r="J376" i="1"/>
  <c r="J370" i="1"/>
  <c r="AB411" i="1"/>
  <c r="L302" i="1"/>
  <c r="L296" i="1"/>
  <c r="M290" i="1"/>
  <c r="L365" i="1"/>
  <c r="J329" i="1"/>
  <c r="AD241" i="1"/>
  <c r="AC241" i="1"/>
  <c r="N327" i="1"/>
  <c r="X357" i="1"/>
  <c r="X388" i="1" s="1"/>
  <c r="N191" i="1"/>
  <c r="M256" i="1"/>
  <c r="K142" i="1"/>
  <c r="G370" i="1"/>
  <c r="G363" i="1"/>
  <c r="G376" i="1"/>
  <c r="F323" i="1"/>
  <c r="M221" i="1"/>
  <c r="F87" i="1"/>
  <c r="F85" i="1"/>
  <c r="K397" i="1"/>
  <c r="L397" i="1" s="1"/>
  <c r="L391" i="1" s="1"/>
  <c r="F370" i="1"/>
  <c r="F376" i="1"/>
  <c r="F363" i="1"/>
  <c r="F357" i="1" s="1"/>
  <c r="F388" i="1" s="1"/>
  <c r="Y62" i="1"/>
  <c r="Y33" i="1"/>
  <c r="Z82" i="1"/>
  <c r="Z63" i="1"/>
  <c r="L389" i="1"/>
  <c r="K395" i="1"/>
  <c r="L395" i="1" s="1"/>
  <c r="AA326" i="1"/>
  <c r="AA360" i="1"/>
  <c r="AA344" i="1"/>
  <c r="N151" i="1"/>
  <c r="M150" i="1"/>
  <c r="H348" i="1"/>
  <c r="AD357" i="1"/>
  <c r="AD388" i="1" s="1"/>
  <c r="AD394" i="1" s="1"/>
  <c r="AD341" i="1"/>
  <c r="AD323" i="1"/>
  <c r="AD329" i="1" s="1"/>
  <c r="I309" i="1"/>
  <c r="J306" i="1"/>
  <c r="I310" i="1"/>
  <c r="I122" i="1"/>
  <c r="AC327" i="1"/>
  <c r="AC333" i="1" s="1"/>
  <c r="AC345" i="1"/>
  <c r="AC361" i="1"/>
  <c r="N326" i="1"/>
  <c r="AA401" i="1"/>
  <c r="AA410" i="1"/>
  <c r="Z370" i="1"/>
  <c r="Z363" i="1"/>
  <c r="Z369" i="1" s="1"/>
  <c r="I364" i="1"/>
  <c r="Z376" i="1"/>
  <c r="I411" i="1"/>
  <c r="G310" i="1"/>
  <c r="G309" i="1"/>
  <c r="H306" i="1"/>
  <c r="G122" i="1"/>
  <c r="AA335" i="1"/>
  <c r="O325" i="1"/>
  <c r="I87" i="1"/>
  <c r="I85" i="1"/>
  <c r="N10" i="1"/>
  <c r="AE36" i="1"/>
  <c r="X63" i="1"/>
  <c r="X82" i="1"/>
  <c r="Q118" i="1"/>
  <c r="K208" i="1"/>
  <c r="G132" i="1"/>
  <c r="G133" i="1"/>
  <c r="G135" i="1" s="1"/>
  <c r="AC325" i="1"/>
  <c r="AC331" i="1" s="1"/>
  <c r="AC343" i="1"/>
  <c r="AC359" i="1"/>
  <c r="J379" i="1"/>
  <c r="J373" i="1"/>
  <c r="J361" i="1"/>
  <c r="J392" i="1" s="1"/>
  <c r="J398" i="1" s="1"/>
  <c r="Z377" i="1"/>
  <c r="Z371" i="1"/>
  <c r="I365" i="1"/>
  <c r="X371" i="1"/>
  <c r="X377" i="1"/>
  <c r="Y365" i="1"/>
  <c r="AD237" i="1"/>
  <c r="AD91" i="1"/>
  <c r="AD89" i="1"/>
  <c r="AD88" i="1"/>
  <c r="AE359" i="1"/>
  <c r="AE343" i="1"/>
  <c r="AE412" i="1"/>
  <c r="AE411" i="1"/>
  <c r="K379" i="1"/>
  <c r="K373" i="1"/>
  <c r="K361" i="1"/>
  <c r="K392" i="1" s="1"/>
  <c r="F373" i="1"/>
  <c r="F379" i="1"/>
  <c r="K354" i="1"/>
  <c r="L282" i="1"/>
  <c r="M282" i="1" s="1"/>
  <c r="N282" i="1" s="1"/>
  <c r="O282" i="1" s="1"/>
  <c r="P282" i="1" s="1"/>
  <c r="Q282" i="1" s="1"/>
  <c r="R282" i="1" s="1"/>
  <c r="S282" i="1" s="1"/>
  <c r="T282" i="1" s="1"/>
  <c r="U282" i="1" s="1"/>
  <c r="H132" i="1"/>
  <c r="H133" i="1"/>
  <c r="H135" i="1" s="1"/>
  <c r="Z317" i="1"/>
  <c r="Z318" i="1"/>
  <c r="Z319" i="1"/>
  <c r="P159" i="1"/>
  <c r="Y358" i="1"/>
  <c r="Y335" i="1"/>
  <c r="K443" i="1"/>
  <c r="K494" i="1"/>
  <c r="Q53" i="1"/>
  <c r="O198" i="1"/>
  <c r="J85" i="1"/>
  <c r="J87" i="1"/>
  <c r="O12" i="1"/>
  <c r="N226" i="1"/>
  <c r="N56" i="1"/>
  <c r="L360" i="1" l="1"/>
  <c r="M391" i="1"/>
  <c r="AA341" i="1"/>
  <c r="AA357" i="1"/>
  <c r="K87" i="1"/>
  <c r="K85" i="1"/>
  <c r="P198" i="1"/>
  <c r="Y373" i="1"/>
  <c r="Y361" i="1"/>
  <c r="Y379" i="1"/>
  <c r="O46" i="1"/>
  <c r="K319" i="1"/>
  <c r="L319" i="1" s="1"/>
  <c r="K318" i="1"/>
  <c r="K317" i="1"/>
  <c r="L317" i="1" s="1"/>
  <c r="K150" i="1"/>
  <c r="K154" i="1" s="1"/>
  <c r="K156" i="1" s="1"/>
  <c r="K320" i="1"/>
  <c r="F91" i="1"/>
  <c r="F237" i="1"/>
  <c r="F243" i="1" s="1"/>
  <c r="F89" i="1"/>
  <c r="F88" i="1"/>
  <c r="AB91" i="1"/>
  <c r="AB237" i="1"/>
  <c r="AB243" i="1" s="1"/>
  <c r="AB89" i="1"/>
  <c r="AB88" i="1"/>
  <c r="X85" i="1"/>
  <c r="X87" i="1"/>
  <c r="I376" i="1"/>
  <c r="I370" i="1"/>
  <c r="I363" i="1"/>
  <c r="I358" i="1"/>
  <c r="I389" i="1" s="1"/>
  <c r="O327" i="1"/>
  <c r="M296" i="1"/>
  <c r="N290" i="1"/>
  <c r="AC63" i="1"/>
  <c r="AC82" i="1"/>
  <c r="N79" i="1"/>
  <c r="M78" i="1"/>
  <c r="M76" i="1" s="1"/>
  <c r="H369" i="1"/>
  <c r="H375" i="1"/>
  <c r="AE87" i="1"/>
  <c r="AE85" i="1"/>
  <c r="Y372" i="1"/>
  <c r="Y378" i="1"/>
  <c r="O324" i="1"/>
  <c r="L294" i="1"/>
  <c r="L38" i="1"/>
  <c r="L37" i="1" s="1"/>
  <c r="M389" i="1"/>
  <c r="L358" i="1"/>
  <c r="Q14" i="1"/>
  <c r="M321" i="1"/>
  <c r="M308" i="1"/>
  <c r="Q159" i="1"/>
  <c r="I377" i="1"/>
  <c r="I371" i="1"/>
  <c r="I359" i="1"/>
  <c r="I390" i="1" s="1"/>
  <c r="H317" i="1"/>
  <c r="H318" i="1"/>
  <c r="H319" i="1"/>
  <c r="H320" i="1"/>
  <c r="I320" i="1"/>
  <c r="I317" i="1"/>
  <c r="I319" i="1"/>
  <c r="I318" i="1"/>
  <c r="P12" i="1"/>
  <c r="G320" i="1"/>
  <c r="G319" i="1"/>
  <c r="G317" i="1"/>
  <c r="G318" i="1"/>
  <c r="J310" i="1"/>
  <c r="J308" i="1"/>
  <c r="J130" i="1"/>
  <c r="K130" i="1" s="1"/>
  <c r="J309" i="1"/>
  <c r="Y63" i="1"/>
  <c r="Y82" i="1"/>
  <c r="N221" i="1"/>
  <c r="H89" i="1"/>
  <c r="H88" i="1"/>
  <c r="H102" i="1"/>
  <c r="H237" i="1"/>
  <c r="H243" i="1" s="1"/>
  <c r="H91" i="1"/>
  <c r="O227" i="1"/>
  <c r="G87" i="1"/>
  <c r="G85" i="1"/>
  <c r="H357" i="1"/>
  <c r="H388" i="1" s="1"/>
  <c r="O228" i="1"/>
  <c r="L192" i="1"/>
  <c r="L185" i="1"/>
  <c r="AC320" i="1"/>
  <c r="AC319" i="1"/>
  <c r="AC317" i="1"/>
  <c r="AC318" i="1"/>
  <c r="P40" i="1"/>
  <c r="O226" i="1"/>
  <c r="AA323" i="1"/>
  <c r="AA329" i="1" s="1"/>
  <c r="K398" i="1"/>
  <c r="L398" i="1" s="1"/>
  <c r="L392" i="1" s="1"/>
  <c r="O10" i="1"/>
  <c r="O151" i="1"/>
  <c r="N150" i="1"/>
  <c r="L215" i="1"/>
  <c r="I378" i="1"/>
  <c r="I372" i="1"/>
  <c r="I360" i="1"/>
  <c r="I391" i="1" s="1"/>
  <c r="Y363" i="1"/>
  <c r="Y369" i="1" s="1"/>
  <c r="Y376" i="1"/>
  <c r="Y370" i="1"/>
  <c r="AB308" i="1"/>
  <c r="AB309" i="1"/>
  <c r="AB310" i="1"/>
  <c r="P190" i="1"/>
  <c r="O141" i="1"/>
  <c r="N250" i="1"/>
  <c r="L337" i="1"/>
  <c r="R252" i="1"/>
  <c r="S172" i="1"/>
  <c r="O56" i="1"/>
  <c r="G375" i="1"/>
  <c r="G369" i="1"/>
  <c r="O122" i="1"/>
  <c r="AA82" i="1"/>
  <c r="AA63" i="1"/>
  <c r="G357" i="1"/>
  <c r="G388" i="1" s="1"/>
  <c r="G394" i="1" s="1"/>
  <c r="R53" i="1"/>
  <c r="H308" i="1"/>
  <c r="H130" i="1"/>
  <c r="Z87" i="1"/>
  <c r="Z85" i="1"/>
  <c r="O408" i="1"/>
  <c r="AC357" i="1"/>
  <c r="AC323" i="1"/>
  <c r="AC329" i="1" s="1"/>
  <c r="AC341" i="1"/>
  <c r="AA412" i="1"/>
  <c r="AA411" i="1"/>
  <c r="AC411" i="1"/>
  <c r="K239" i="1"/>
  <c r="K59" i="1" s="1"/>
  <c r="K60" i="1" s="1"/>
  <c r="K144" i="1"/>
  <c r="K145" i="1" s="1"/>
  <c r="L140" i="1" s="1"/>
  <c r="O225" i="1"/>
  <c r="N219" i="1"/>
  <c r="O115" i="1"/>
  <c r="M152" i="1"/>
  <c r="M240" i="1" s="1"/>
  <c r="M258" i="1" s="1"/>
  <c r="K493" i="1"/>
  <c r="K449" i="1"/>
  <c r="AD243" i="1"/>
  <c r="R118" i="1"/>
  <c r="I89" i="1"/>
  <c r="I102" i="1"/>
  <c r="I237" i="1"/>
  <c r="I243" i="1" s="1"/>
  <c r="I88" i="1"/>
  <c r="I91" i="1"/>
  <c r="O326" i="1"/>
  <c r="F375" i="1"/>
  <c r="F369" i="1"/>
  <c r="N256" i="1"/>
  <c r="O191" i="1"/>
  <c r="J369" i="1"/>
  <c r="J375" i="1"/>
  <c r="J357" i="1"/>
  <c r="J388" i="1" s="1"/>
  <c r="K394" i="1" s="1"/>
  <c r="J102" i="1"/>
  <c r="J91" i="1"/>
  <c r="J237" i="1"/>
  <c r="J243" i="1" s="1"/>
  <c r="J89" i="1"/>
  <c r="J88" i="1"/>
  <c r="Y357" i="1"/>
  <c r="Y323" i="1"/>
  <c r="Y377" i="1"/>
  <c r="Y371" i="1"/>
  <c r="P325" i="1"/>
  <c r="AA332" i="1"/>
  <c r="M365" i="1"/>
  <c r="I308" i="1"/>
  <c r="I130" i="1"/>
  <c r="K52" i="1"/>
  <c r="K255" i="1"/>
  <c r="L261" i="1"/>
  <c r="L255" i="1" s="1"/>
  <c r="L242" i="1"/>
  <c r="AA318" i="1"/>
  <c r="AA317" i="1"/>
  <c r="AA319" i="1"/>
  <c r="AA320" i="1"/>
  <c r="Z357" i="1"/>
  <c r="Z388" i="1" s="1"/>
  <c r="Z394" i="1" s="1"/>
  <c r="AB329" i="1"/>
  <c r="N390" i="1"/>
  <c r="M359" i="1"/>
  <c r="L361" i="1" l="1"/>
  <c r="M392" i="1"/>
  <c r="R14" i="1"/>
  <c r="O256" i="1"/>
  <c r="P191" i="1"/>
  <c r="AA85" i="1"/>
  <c r="AA87" i="1"/>
  <c r="AB317" i="1"/>
  <c r="AB318" i="1"/>
  <c r="AB320" i="1"/>
  <c r="AB319" i="1"/>
  <c r="G237" i="1"/>
  <c r="G243" i="1" s="1"/>
  <c r="G88" i="1"/>
  <c r="G89" i="1"/>
  <c r="G91" i="1"/>
  <c r="J320" i="1"/>
  <c r="J319" i="1"/>
  <c r="J151" i="1"/>
  <c r="J318" i="1"/>
  <c r="J317" i="1"/>
  <c r="O290" i="1"/>
  <c r="N296" i="1"/>
  <c r="M319" i="1"/>
  <c r="L313" i="1"/>
  <c r="L291" i="1" s="1"/>
  <c r="J99" i="1"/>
  <c r="J98" i="1"/>
  <c r="Z89" i="1"/>
  <c r="Z88" i="1"/>
  <c r="Z237" i="1"/>
  <c r="Z243" i="1" s="1"/>
  <c r="Z91" i="1"/>
  <c r="L403" i="1"/>
  <c r="L355" i="1"/>
  <c r="L343" i="1"/>
  <c r="P227" i="1"/>
  <c r="O221" i="1"/>
  <c r="N389" i="1"/>
  <c r="M358" i="1"/>
  <c r="AE89" i="1"/>
  <c r="AE88" i="1"/>
  <c r="AE91" i="1"/>
  <c r="P46" i="1"/>
  <c r="K89" i="1"/>
  <c r="K237" i="1"/>
  <c r="K236" i="1" s="1"/>
  <c r="K91" i="1"/>
  <c r="L91" i="1" s="1"/>
  <c r="K102" i="1"/>
  <c r="L102" i="1" s="1"/>
  <c r="K88" i="1"/>
  <c r="N359" i="1"/>
  <c r="N337" i="1" s="1"/>
  <c r="O390" i="1"/>
  <c r="Q325" i="1"/>
  <c r="I99" i="1"/>
  <c r="I98" i="1"/>
  <c r="O219" i="1"/>
  <c r="P115" i="1"/>
  <c r="P122" i="1"/>
  <c r="P226" i="1"/>
  <c r="X237" i="1"/>
  <c r="X91" i="1"/>
  <c r="X88" i="1"/>
  <c r="X89" i="1"/>
  <c r="AB394" i="1"/>
  <c r="L188" i="1"/>
  <c r="Y85" i="1"/>
  <c r="Y87" i="1"/>
  <c r="R159" i="1"/>
  <c r="N365" i="1"/>
  <c r="S252" i="1"/>
  <c r="T172" i="1"/>
  <c r="H99" i="1"/>
  <c r="H98" i="1"/>
  <c r="M337" i="1"/>
  <c r="P324" i="1"/>
  <c r="P408" i="1"/>
  <c r="Q190" i="1"/>
  <c r="I396" i="1"/>
  <c r="J396" i="1"/>
  <c r="I369" i="1"/>
  <c r="I375" i="1"/>
  <c r="I357" i="1"/>
  <c r="I388" i="1" s="1"/>
  <c r="I394" i="1" s="1"/>
  <c r="M154" i="1"/>
  <c r="M155" i="1" s="1"/>
  <c r="S118" i="1"/>
  <c r="S53" i="1"/>
  <c r="O150" i="1"/>
  <c r="P151" i="1"/>
  <c r="M261" i="1"/>
  <c r="M242" i="1"/>
  <c r="P327" i="1"/>
  <c r="J394" i="1"/>
  <c r="P326" i="1"/>
  <c r="P225" i="1"/>
  <c r="P141" i="1"/>
  <c r="O250" i="1"/>
  <c r="P10" i="1"/>
  <c r="Q40" i="1"/>
  <c r="P228" i="1"/>
  <c r="N306" i="1"/>
  <c r="M288" i="1"/>
  <c r="M42" i="1"/>
  <c r="M121" i="1"/>
  <c r="N78" i="1"/>
  <c r="N76" i="1" s="1"/>
  <c r="O79" i="1"/>
  <c r="N391" i="1"/>
  <c r="M360" i="1"/>
  <c r="L142" i="1"/>
  <c r="L239" i="1" s="1"/>
  <c r="L144" i="1"/>
  <c r="L145" i="1" s="1"/>
  <c r="P56" i="1"/>
  <c r="I397" i="1"/>
  <c r="J397" i="1"/>
  <c r="H394" i="1"/>
  <c r="L130" i="1"/>
  <c r="K129" i="1"/>
  <c r="K127" i="1" s="1"/>
  <c r="Q12" i="1"/>
  <c r="AC87" i="1"/>
  <c r="AC85" i="1"/>
  <c r="I395" i="1"/>
  <c r="J395" i="1"/>
  <c r="L320" i="1"/>
  <c r="L314" i="1" s="1"/>
  <c r="L292" i="1" s="1"/>
  <c r="M317" i="1"/>
  <c r="L311" i="1"/>
  <c r="L289" i="1" s="1"/>
  <c r="Q198" i="1"/>
  <c r="M215" i="1" l="1"/>
  <c r="M355" i="1"/>
  <c r="M343" i="1"/>
  <c r="M403" i="1"/>
  <c r="Y237" i="1"/>
  <c r="Y88" i="1"/>
  <c r="Y91" i="1"/>
  <c r="Y89" i="1"/>
  <c r="P219" i="1"/>
  <c r="Q115" i="1"/>
  <c r="P256" i="1"/>
  <c r="Q191" i="1"/>
  <c r="R12" i="1"/>
  <c r="Q56" i="1"/>
  <c r="Q10" i="1"/>
  <c r="Q327" i="1"/>
  <c r="R190" i="1"/>
  <c r="M102" i="1"/>
  <c r="M311" i="1"/>
  <c r="M320" i="1"/>
  <c r="M314" i="1" s="1"/>
  <c r="N317" i="1"/>
  <c r="M294" i="1"/>
  <c r="M38" i="1"/>
  <c r="M37" i="1" s="1"/>
  <c r="M302" i="1"/>
  <c r="T118" i="1"/>
  <c r="M91" i="1"/>
  <c r="L366" i="1"/>
  <c r="L338" i="1" s="1"/>
  <c r="M291" i="1"/>
  <c r="M366" i="1"/>
  <c r="L303" i="1"/>
  <c r="L297" i="1"/>
  <c r="S14" i="1"/>
  <c r="M130" i="1"/>
  <c r="L129" i="1"/>
  <c r="L127" i="1" s="1"/>
  <c r="L249" i="1" s="1"/>
  <c r="L248" i="1" s="1"/>
  <c r="U172" i="1"/>
  <c r="U252" i="1" s="1"/>
  <c r="T252" i="1"/>
  <c r="K245" i="1"/>
  <c r="O389" i="1"/>
  <c r="N358" i="1"/>
  <c r="N319" i="1"/>
  <c r="M313" i="1"/>
  <c r="R198" i="1"/>
  <c r="AC89" i="1"/>
  <c r="AC237" i="1"/>
  <c r="AC243" i="1" s="1"/>
  <c r="AC88" i="1"/>
  <c r="AC91" i="1"/>
  <c r="N261" i="1"/>
  <c r="N242" i="1"/>
  <c r="R40" i="1"/>
  <c r="T53" i="1"/>
  <c r="N355" i="1"/>
  <c r="N343" i="1"/>
  <c r="N403" i="1"/>
  <c r="P365" i="1"/>
  <c r="P290" i="1"/>
  <c r="O296" i="1"/>
  <c r="L301" i="1"/>
  <c r="L295" i="1"/>
  <c r="L364" i="1"/>
  <c r="M289" i="1"/>
  <c r="K249" i="1"/>
  <c r="K248" i="1" s="1"/>
  <c r="K263" i="1" s="1"/>
  <c r="K268" i="1" s="1"/>
  <c r="K133" i="1"/>
  <c r="K134" i="1" s="1"/>
  <c r="M140" i="1"/>
  <c r="L113" i="1"/>
  <c r="L298" i="1"/>
  <c r="L304" i="1"/>
  <c r="L367" i="1"/>
  <c r="L339" i="1" s="1"/>
  <c r="M292" i="1"/>
  <c r="N308" i="1"/>
  <c r="N321" i="1"/>
  <c r="Q141" i="1"/>
  <c r="P250" i="1"/>
  <c r="M158" i="1"/>
  <c r="N149" i="1"/>
  <c r="M111" i="1"/>
  <c r="M338" i="1"/>
  <c r="Q408" i="1"/>
  <c r="R325" i="1"/>
  <c r="K99" i="1"/>
  <c r="K98" i="1"/>
  <c r="P221" i="1"/>
  <c r="O391" i="1"/>
  <c r="N360" i="1"/>
  <c r="Q228" i="1"/>
  <c r="Q225" i="1"/>
  <c r="Q151" i="1"/>
  <c r="P150" i="1"/>
  <c r="Q324" i="1"/>
  <c r="Q226" i="1"/>
  <c r="M361" i="1"/>
  <c r="N392" i="1"/>
  <c r="O78" i="1"/>
  <c r="O76" i="1" s="1"/>
  <c r="P79" i="1"/>
  <c r="Q326" i="1"/>
  <c r="S159" i="1"/>
  <c r="Q122" i="1"/>
  <c r="P390" i="1"/>
  <c r="O359" i="1"/>
  <c r="O337" i="1" s="1"/>
  <c r="Q46" i="1"/>
  <c r="Q227" i="1"/>
  <c r="O365" i="1"/>
  <c r="AA237" i="1"/>
  <c r="AA243" i="1" s="1"/>
  <c r="AA88" i="1"/>
  <c r="AA91" i="1"/>
  <c r="AA89" i="1"/>
  <c r="L345" i="1" l="1"/>
  <c r="L405" i="1"/>
  <c r="O319" i="1"/>
  <c r="N313" i="1"/>
  <c r="N291" i="1" s="1"/>
  <c r="S12" i="1"/>
  <c r="O261" i="1"/>
  <c r="O242" i="1"/>
  <c r="Q221" i="1"/>
  <c r="M295" i="1"/>
  <c r="M301" i="1"/>
  <c r="S198" i="1"/>
  <c r="N361" i="1"/>
  <c r="O392" i="1"/>
  <c r="N152" i="1"/>
  <c r="N240" i="1" s="1"/>
  <c r="N258" i="1" s="1"/>
  <c r="L363" i="1"/>
  <c r="L336" i="1"/>
  <c r="L344" i="1"/>
  <c r="L404" i="1"/>
  <c r="R122" i="1"/>
  <c r="R225" i="1"/>
  <c r="M192" i="1"/>
  <c r="M185" i="1"/>
  <c r="M364" i="1"/>
  <c r="M129" i="1"/>
  <c r="M127" i="1" s="1"/>
  <c r="M249" i="1" s="1"/>
  <c r="M248" i="1" s="1"/>
  <c r="N130" i="1"/>
  <c r="O317" i="1"/>
  <c r="N320" i="1"/>
  <c r="N314" i="1" s="1"/>
  <c r="N292" i="1" s="1"/>
  <c r="N311" i="1"/>
  <c r="N289" i="1" s="1"/>
  <c r="R327" i="1"/>
  <c r="R227" i="1"/>
  <c r="R228" i="1"/>
  <c r="S325" i="1"/>
  <c r="Q256" i="1"/>
  <c r="R191" i="1"/>
  <c r="T159" i="1"/>
  <c r="R226" i="1"/>
  <c r="R141" i="1"/>
  <c r="Q250" i="1"/>
  <c r="P389" i="1"/>
  <c r="O358" i="1"/>
  <c r="T14" i="1"/>
  <c r="N91" i="1"/>
  <c r="R326" i="1"/>
  <c r="R408" i="1"/>
  <c r="O306" i="1"/>
  <c r="N288" i="1"/>
  <c r="N42" i="1"/>
  <c r="N121" i="1"/>
  <c r="M142" i="1"/>
  <c r="M239" i="1" s="1"/>
  <c r="K270" i="1"/>
  <c r="K271" i="1" s="1"/>
  <c r="R10" i="1"/>
  <c r="R115" i="1"/>
  <c r="Q219" i="1"/>
  <c r="R46" i="1"/>
  <c r="R324" i="1"/>
  <c r="P391" i="1"/>
  <c r="O360" i="1"/>
  <c r="K136" i="1"/>
  <c r="K137" i="1" s="1"/>
  <c r="L126" i="1"/>
  <c r="Q365" i="1"/>
  <c r="Q290" i="1"/>
  <c r="P296" i="1"/>
  <c r="U53" i="1"/>
  <c r="U118" i="1"/>
  <c r="N102" i="1"/>
  <c r="O343" i="1"/>
  <c r="O355" i="1"/>
  <c r="O403" i="1"/>
  <c r="P78" i="1"/>
  <c r="P76" i="1" s="1"/>
  <c r="Q79" i="1"/>
  <c r="M344" i="1"/>
  <c r="M404" i="1"/>
  <c r="M298" i="1"/>
  <c r="M304" i="1"/>
  <c r="S40" i="1"/>
  <c r="P359" i="1"/>
  <c r="P337" i="1" s="1"/>
  <c r="Q390" i="1"/>
  <c r="Q150" i="1"/>
  <c r="R151" i="1"/>
  <c r="M367" i="1"/>
  <c r="M339" i="1" s="1"/>
  <c r="M303" i="1"/>
  <c r="M297" i="1"/>
  <c r="S190" i="1"/>
  <c r="R56" i="1"/>
  <c r="N295" i="1" l="1"/>
  <c r="N301" i="1"/>
  <c r="N364" i="1"/>
  <c r="N303" i="1"/>
  <c r="N297" i="1"/>
  <c r="N366" i="1"/>
  <c r="N338" i="1" s="1"/>
  <c r="N304" i="1"/>
  <c r="O292" i="1"/>
  <c r="N298" i="1"/>
  <c r="N367" i="1"/>
  <c r="N339" i="1" s="1"/>
  <c r="M345" i="1"/>
  <c r="M405" i="1"/>
  <c r="S225" i="1"/>
  <c r="T40" i="1"/>
  <c r="O102" i="1"/>
  <c r="S46" i="1"/>
  <c r="N215" i="1"/>
  <c r="S326" i="1"/>
  <c r="M188" i="1"/>
  <c r="T198" i="1"/>
  <c r="Q78" i="1"/>
  <c r="Q76" i="1" s="1"/>
  <c r="R79" i="1"/>
  <c r="L131" i="1"/>
  <c r="L238" i="1" s="1"/>
  <c r="L45" i="1" s="1"/>
  <c r="R250" i="1"/>
  <c r="S141" i="1"/>
  <c r="L342" i="1"/>
  <c r="L335" i="1"/>
  <c r="L354" i="1"/>
  <c r="L402" i="1"/>
  <c r="L400" i="1" s="1"/>
  <c r="P261" i="1"/>
  <c r="P242" i="1"/>
  <c r="R219" i="1"/>
  <c r="S115" i="1"/>
  <c r="T12" i="1"/>
  <c r="S56" i="1"/>
  <c r="T325" i="1"/>
  <c r="N294" i="1"/>
  <c r="N38" i="1"/>
  <c r="N37" i="1" s="1"/>
  <c r="N302" i="1"/>
  <c r="O91" i="1"/>
  <c r="T190" i="1"/>
  <c r="S10" i="1"/>
  <c r="O321" i="1"/>
  <c r="O308" i="1"/>
  <c r="S226" i="1"/>
  <c r="S228" i="1"/>
  <c r="O320" i="1"/>
  <c r="O314" i="1" s="1"/>
  <c r="P317" i="1"/>
  <c r="O311" i="1"/>
  <c r="O289" i="1" s="1"/>
  <c r="S151" i="1"/>
  <c r="R150" i="1"/>
  <c r="Q391" i="1"/>
  <c r="P360" i="1"/>
  <c r="U159" i="1"/>
  <c r="O130" i="1"/>
  <c r="N129" i="1"/>
  <c r="N127" i="1" s="1"/>
  <c r="N249" i="1" s="1"/>
  <c r="N248" i="1" s="1"/>
  <c r="S122" i="1"/>
  <c r="N154" i="1"/>
  <c r="N155" i="1" s="1"/>
  <c r="P319" i="1"/>
  <c r="O313" i="1"/>
  <c r="O291" i="1" s="1"/>
  <c r="S324" i="1"/>
  <c r="S408" i="1"/>
  <c r="U14" i="1"/>
  <c r="S227" i="1"/>
  <c r="P392" i="1"/>
  <c r="O361" i="1"/>
  <c r="R390" i="1"/>
  <c r="Q359" i="1"/>
  <c r="Q337" i="1" s="1"/>
  <c r="S191" i="1"/>
  <c r="R256" i="1"/>
  <c r="M363" i="1"/>
  <c r="M336" i="1"/>
  <c r="R221" i="1"/>
  <c r="P355" i="1"/>
  <c r="P343" i="1"/>
  <c r="P403" i="1"/>
  <c r="Q296" i="1"/>
  <c r="R290" i="1"/>
  <c r="M144" i="1"/>
  <c r="M145" i="1" s="1"/>
  <c r="Q389" i="1"/>
  <c r="P358" i="1"/>
  <c r="S327" i="1"/>
  <c r="O297" i="1" l="1"/>
  <c r="O303" i="1"/>
  <c r="O366" i="1"/>
  <c r="O338" i="1" s="1"/>
  <c r="N345" i="1"/>
  <c r="N405" i="1"/>
  <c r="O295" i="1"/>
  <c r="O301" i="1"/>
  <c r="O364" i="1"/>
  <c r="O129" i="1"/>
  <c r="O127" i="1" s="1"/>
  <c r="O249" i="1" s="1"/>
  <c r="O248" i="1" s="1"/>
  <c r="P130" i="1"/>
  <c r="U40" i="1"/>
  <c r="O304" i="1"/>
  <c r="O298" i="1"/>
  <c r="N363" i="1"/>
  <c r="N336" i="1"/>
  <c r="L341" i="1"/>
  <c r="L357" i="1"/>
  <c r="L349" i="1"/>
  <c r="L350" i="1"/>
  <c r="L351" i="1"/>
  <c r="T225" i="1"/>
  <c r="P102" i="1"/>
  <c r="R296" i="1"/>
  <c r="S290" i="1"/>
  <c r="T408" i="1"/>
  <c r="P91" i="1"/>
  <c r="S221" i="1"/>
  <c r="S390" i="1"/>
  <c r="R359" i="1"/>
  <c r="R337" i="1" s="1"/>
  <c r="T151" i="1"/>
  <c r="S150" i="1"/>
  <c r="L401" i="1"/>
  <c r="L375" i="1"/>
  <c r="L323" i="1"/>
  <c r="L329" i="1" s="1"/>
  <c r="L407" i="1"/>
  <c r="L410" i="1" s="1"/>
  <c r="T327" i="1"/>
  <c r="T324" i="1"/>
  <c r="P306" i="1"/>
  <c r="O288" i="1"/>
  <c r="O42" i="1"/>
  <c r="O121" i="1"/>
  <c r="T56" i="1"/>
  <c r="T326" i="1"/>
  <c r="M354" i="1"/>
  <c r="M342" i="1"/>
  <c r="M335" i="1"/>
  <c r="M348" i="1" s="1"/>
  <c r="M402" i="1"/>
  <c r="M400" i="1" s="1"/>
  <c r="S79" i="1"/>
  <c r="R78" i="1"/>
  <c r="R76" i="1" s="1"/>
  <c r="T227" i="1"/>
  <c r="T228" i="1"/>
  <c r="S219" i="1"/>
  <c r="T115" i="1"/>
  <c r="U198" i="1"/>
  <c r="N344" i="1"/>
  <c r="N404" i="1"/>
  <c r="N140" i="1"/>
  <c r="M113" i="1"/>
  <c r="T122" i="1"/>
  <c r="U190" i="1"/>
  <c r="Q355" i="1"/>
  <c r="Q343" i="1"/>
  <c r="Q403" i="1"/>
  <c r="T226" i="1"/>
  <c r="U325" i="1"/>
  <c r="L133" i="1"/>
  <c r="L134" i="1" s="1"/>
  <c r="R365" i="1"/>
  <c r="P361" i="1"/>
  <c r="Q392" i="1"/>
  <c r="Q317" i="1"/>
  <c r="P320" i="1"/>
  <c r="P314" i="1" s="1"/>
  <c r="P292" i="1" s="1"/>
  <c r="P311" i="1"/>
  <c r="P289" i="1" s="1"/>
  <c r="T10" i="1"/>
  <c r="U12" i="1"/>
  <c r="L348" i="1"/>
  <c r="Q242" i="1"/>
  <c r="Q261" i="1"/>
  <c r="O367" i="1"/>
  <c r="O339" i="1" s="1"/>
  <c r="Q319" i="1"/>
  <c r="P313" i="1"/>
  <c r="P291" i="1" s="1"/>
  <c r="Q358" i="1"/>
  <c r="R389" i="1"/>
  <c r="S256" i="1"/>
  <c r="T191" i="1"/>
  <c r="O149" i="1"/>
  <c r="N111" i="1"/>
  <c r="N158" i="1"/>
  <c r="Q360" i="1"/>
  <c r="R391" i="1"/>
  <c r="S250" i="1"/>
  <c r="T141" i="1"/>
  <c r="T46" i="1"/>
  <c r="P297" i="1" l="1"/>
  <c r="Q291" i="1"/>
  <c r="P366" i="1"/>
  <c r="P338" i="1" s="1"/>
  <c r="Q289" i="1"/>
  <c r="Q364" i="1"/>
  <c r="P295" i="1"/>
  <c r="P364" i="1"/>
  <c r="P298" i="1"/>
  <c r="Q292" i="1"/>
  <c r="P367" i="1"/>
  <c r="P339" i="1" s="1"/>
  <c r="O345" i="1"/>
  <c r="O405" i="1"/>
  <c r="L411" i="1"/>
  <c r="L8" i="1"/>
  <c r="T256" i="1"/>
  <c r="U191" i="1"/>
  <c r="U256" i="1" s="1"/>
  <c r="R343" i="1"/>
  <c r="R355" i="1"/>
  <c r="R403" i="1"/>
  <c r="U225" i="1"/>
  <c r="O152" i="1"/>
  <c r="O240" i="1" s="1"/>
  <c r="O258" i="1" s="1"/>
  <c r="U56" i="1"/>
  <c r="O344" i="1"/>
  <c r="O404" i="1"/>
  <c r="O215" i="1"/>
  <c r="S359" i="1"/>
  <c r="T390" i="1"/>
  <c r="S296" i="1"/>
  <c r="T290" i="1"/>
  <c r="R358" i="1"/>
  <c r="S389" i="1"/>
  <c r="U227" i="1"/>
  <c r="R360" i="1"/>
  <c r="S391" i="1"/>
  <c r="R392" i="1"/>
  <c r="Q361" i="1"/>
  <c r="O294" i="1"/>
  <c r="O38" i="1"/>
  <c r="O37" i="1" s="1"/>
  <c r="O302" i="1"/>
  <c r="U122" i="1"/>
  <c r="R242" i="1"/>
  <c r="R261" i="1"/>
  <c r="P321" i="1"/>
  <c r="P308" i="1"/>
  <c r="Q91" i="1"/>
  <c r="N185" i="1"/>
  <c r="N192" i="1"/>
  <c r="R319" i="1"/>
  <c r="Q313" i="1"/>
  <c r="T79" i="1"/>
  <c r="S78" i="1"/>
  <c r="S76" i="1" s="1"/>
  <c r="U326" i="1"/>
  <c r="U324" i="1"/>
  <c r="Q102" i="1"/>
  <c r="U46" i="1"/>
  <c r="U10" i="1"/>
  <c r="L110" i="1"/>
  <c r="L108" i="1" s="1"/>
  <c r="L136" i="1"/>
  <c r="L137" i="1" s="1"/>
  <c r="M126" i="1"/>
  <c r="N142" i="1"/>
  <c r="N239" i="1" s="1"/>
  <c r="U408" i="1"/>
  <c r="N354" i="1"/>
  <c r="N348" i="1"/>
  <c r="N335" i="1"/>
  <c r="N342" i="1"/>
  <c r="N402" i="1"/>
  <c r="N400" i="1" s="1"/>
  <c r="P129" i="1"/>
  <c r="P127" i="1" s="1"/>
  <c r="P249" i="1" s="1"/>
  <c r="P248" i="1" s="1"/>
  <c r="Q130" i="1"/>
  <c r="T250" i="1"/>
  <c r="U141" i="1"/>
  <c r="U250" i="1" s="1"/>
  <c r="U327" i="1"/>
  <c r="O363" i="1"/>
  <c r="O336" i="1"/>
  <c r="U226" i="1"/>
  <c r="T221" i="1"/>
  <c r="S365" i="1"/>
  <c r="U228" i="1"/>
  <c r="T150" i="1"/>
  <c r="U151" i="1"/>
  <c r="U150" i="1" s="1"/>
  <c r="M401" i="1"/>
  <c r="M323" i="1"/>
  <c r="M329" i="1" s="1"/>
  <c r="M375" i="1"/>
  <c r="M407" i="1"/>
  <c r="M410" i="1" s="1"/>
  <c r="M357" i="1"/>
  <c r="M341" i="1"/>
  <c r="M349" i="1"/>
  <c r="M350" i="1"/>
  <c r="M351" i="1"/>
  <c r="R317" i="1"/>
  <c r="Q320" i="1"/>
  <c r="Q314" i="1" s="1"/>
  <c r="Q311" i="1"/>
  <c r="T219" i="1"/>
  <c r="U115" i="1"/>
  <c r="U219" i="1" s="1"/>
  <c r="M411" i="1" l="1"/>
  <c r="M8" i="1"/>
  <c r="P345" i="1"/>
  <c r="P405" i="1"/>
  <c r="U221" i="1"/>
  <c r="N188" i="1"/>
  <c r="S392" i="1"/>
  <c r="R361" i="1"/>
  <c r="S358" i="1"/>
  <c r="T389" i="1"/>
  <c r="S360" i="1"/>
  <c r="T391" i="1"/>
  <c r="T296" i="1"/>
  <c r="U290" i="1"/>
  <c r="O154" i="1"/>
  <c r="O155" i="1" s="1"/>
  <c r="R292" i="1"/>
  <c r="Q298" i="1"/>
  <c r="R289" i="1"/>
  <c r="Q295" i="1"/>
  <c r="Q336" i="1"/>
  <c r="R130" i="1"/>
  <c r="R91" i="1"/>
  <c r="T365" i="1"/>
  <c r="P344" i="1"/>
  <c r="P404" i="1"/>
  <c r="S242" i="1"/>
  <c r="S261" i="1"/>
  <c r="L9" i="1"/>
  <c r="L5" i="1"/>
  <c r="L19" i="1"/>
  <c r="Q297" i="1"/>
  <c r="R291" i="1"/>
  <c r="O342" i="1"/>
  <c r="O335" i="1"/>
  <c r="O354" i="1"/>
  <c r="O402" i="1"/>
  <c r="O400" i="1" s="1"/>
  <c r="N401" i="1"/>
  <c r="N375" i="1"/>
  <c r="N323" i="1"/>
  <c r="N329" i="1" s="1"/>
  <c r="N407" i="1"/>
  <c r="N410" i="1" s="1"/>
  <c r="N144" i="1"/>
  <c r="N145" i="1" s="1"/>
  <c r="U79" i="1"/>
  <c r="U78" i="1" s="1"/>
  <c r="U76" i="1" s="1"/>
  <c r="T78" i="1"/>
  <c r="T76" i="1" s="1"/>
  <c r="P288" i="1"/>
  <c r="Q306" i="1"/>
  <c r="P42" i="1"/>
  <c r="P121" i="1"/>
  <c r="Q367" i="1"/>
  <c r="Q339" i="1" s="1"/>
  <c r="M131" i="1"/>
  <c r="M238" i="1" s="1"/>
  <c r="M45" i="1" s="1"/>
  <c r="R102" i="1"/>
  <c r="U390" i="1"/>
  <c r="U359" i="1" s="1"/>
  <c r="T359" i="1"/>
  <c r="T337" i="1" s="1"/>
  <c r="P363" i="1"/>
  <c r="P336" i="1"/>
  <c r="Q366" i="1"/>
  <c r="Q338" i="1" s="1"/>
  <c r="S317" i="1"/>
  <c r="R320" i="1"/>
  <c r="R314" i="1" s="1"/>
  <c r="R311" i="1"/>
  <c r="N357" i="1"/>
  <c r="N341" i="1"/>
  <c r="N349" i="1"/>
  <c r="N351" i="1"/>
  <c r="N350" i="1"/>
  <c r="S319" i="1"/>
  <c r="R313" i="1"/>
  <c r="S337" i="1"/>
  <c r="Q345" i="1" l="1"/>
  <c r="Q405" i="1"/>
  <c r="N411" i="1"/>
  <c r="N8" i="1"/>
  <c r="Q344" i="1"/>
  <c r="Q350" i="1"/>
  <c r="Q404" i="1"/>
  <c r="Q321" i="1"/>
  <c r="Q308" i="1"/>
  <c r="P149" i="1"/>
  <c r="O111" i="1"/>
  <c r="O158" i="1"/>
  <c r="P348" i="1"/>
  <c r="P335" i="1"/>
  <c r="P354" i="1"/>
  <c r="P342" i="1"/>
  <c r="P402" i="1"/>
  <c r="P400" i="1" s="1"/>
  <c r="M133" i="1"/>
  <c r="M134" i="1" s="1"/>
  <c r="P294" i="1"/>
  <c r="P38" i="1"/>
  <c r="P37" i="1" s="1"/>
  <c r="P302" i="1"/>
  <c r="P303" i="1"/>
  <c r="P304" i="1"/>
  <c r="P301" i="1"/>
  <c r="S291" i="1"/>
  <c r="R297" i="1"/>
  <c r="S366" i="1"/>
  <c r="S338" i="1" s="1"/>
  <c r="R295" i="1"/>
  <c r="U296" i="1"/>
  <c r="R339" i="1"/>
  <c r="T242" i="1"/>
  <c r="T261" i="1"/>
  <c r="O375" i="1"/>
  <c r="O401" i="1"/>
  <c r="O323" i="1"/>
  <c r="O329" i="1" s="1"/>
  <c r="O407" i="1"/>
  <c r="O410" i="1" s="1"/>
  <c r="S91" i="1"/>
  <c r="R364" i="1"/>
  <c r="T392" i="1"/>
  <c r="S361" i="1"/>
  <c r="T343" i="1"/>
  <c r="T355" i="1"/>
  <c r="T403" i="1"/>
  <c r="U242" i="1"/>
  <c r="U261" i="1"/>
  <c r="R366" i="1"/>
  <c r="R338" i="1" s="1"/>
  <c r="U365" i="1"/>
  <c r="S343" i="1"/>
  <c r="S355" i="1"/>
  <c r="S403" i="1"/>
  <c r="U337" i="1"/>
  <c r="N113" i="1"/>
  <c r="O140" i="1"/>
  <c r="O357" i="1"/>
  <c r="O341" i="1"/>
  <c r="O349" i="1"/>
  <c r="O350" i="1"/>
  <c r="O351" i="1"/>
  <c r="Q129" i="1"/>
  <c r="Q127" i="1" s="1"/>
  <c r="Q249" i="1" s="1"/>
  <c r="Q248" i="1" s="1"/>
  <c r="R298" i="1"/>
  <c r="O348" i="1"/>
  <c r="L22" i="1"/>
  <c r="L23" i="1"/>
  <c r="L6" i="1"/>
  <c r="L65" i="1"/>
  <c r="L44" i="1"/>
  <c r="L32" i="1"/>
  <c r="L68" i="1"/>
  <c r="L218" i="1"/>
  <c r="L186" i="1" s="1"/>
  <c r="L216" i="1"/>
  <c r="L179" i="1" s="1"/>
  <c r="L177" i="1" s="1"/>
  <c r="L195" i="1" s="1"/>
  <c r="L20" i="1"/>
  <c r="L21" i="1"/>
  <c r="L217" i="1"/>
  <c r="L180" i="1" s="1"/>
  <c r="L214" i="1"/>
  <c r="L163" i="1" s="1"/>
  <c r="L48" i="1"/>
  <c r="L55" i="1"/>
  <c r="L213" i="1"/>
  <c r="L52" i="1"/>
  <c r="L51" i="1"/>
  <c r="L54" i="1"/>
  <c r="S130" i="1"/>
  <c r="U391" i="1"/>
  <c r="U360" i="1" s="1"/>
  <c r="T360" i="1"/>
  <c r="P215" i="1"/>
  <c r="Q342" i="1"/>
  <c r="Q354" i="1"/>
  <c r="Q335" i="1"/>
  <c r="Q402" i="1"/>
  <c r="R367" i="1"/>
  <c r="Q363" i="1"/>
  <c r="M5" i="1"/>
  <c r="M9" i="1"/>
  <c r="T319" i="1"/>
  <c r="S313" i="1"/>
  <c r="T317" i="1"/>
  <c r="S320" i="1"/>
  <c r="S314" i="1" s="1"/>
  <c r="S292" i="1" s="1"/>
  <c r="S311" i="1"/>
  <c r="S289" i="1" s="1"/>
  <c r="S102" i="1"/>
  <c r="T358" i="1"/>
  <c r="U389" i="1"/>
  <c r="U358" i="1" s="1"/>
  <c r="T292" i="1" l="1"/>
  <c r="T367" i="1"/>
  <c r="S298" i="1"/>
  <c r="S367" i="1"/>
  <c r="O411" i="1"/>
  <c r="O8" i="1"/>
  <c r="S344" i="1"/>
  <c r="S404" i="1"/>
  <c r="T289" i="1"/>
  <c r="S295" i="1"/>
  <c r="S364" i="1"/>
  <c r="U355" i="1"/>
  <c r="U343" i="1"/>
  <c r="U403" i="1"/>
  <c r="T91" i="1"/>
  <c r="T102" i="1"/>
  <c r="M65" i="1"/>
  <c r="M68" i="1"/>
  <c r="M23" i="1"/>
  <c r="M6" i="1"/>
  <c r="M44" i="1"/>
  <c r="M32" i="1"/>
  <c r="M21" i="1"/>
  <c r="M22" i="1"/>
  <c r="M55" i="1"/>
  <c r="M217" i="1"/>
  <c r="M180" i="1" s="1"/>
  <c r="M20" i="1"/>
  <c r="M214" i="1"/>
  <c r="M163" i="1" s="1"/>
  <c r="M218" i="1"/>
  <c r="M186" i="1" s="1"/>
  <c r="M216" i="1"/>
  <c r="M179" i="1" s="1"/>
  <c r="M177" i="1" s="1"/>
  <c r="M195" i="1" s="1"/>
  <c r="M48" i="1"/>
  <c r="M213" i="1"/>
  <c r="M52" i="1"/>
  <c r="M51" i="1"/>
  <c r="R345" i="1"/>
  <c r="R405" i="1"/>
  <c r="O192" i="1"/>
  <c r="O185" i="1"/>
  <c r="L212" i="1"/>
  <c r="L164" i="1"/>
  <c r="M136" i="1"/>
  <c r="M137" i="1" s="1"/>
  <c r="N126" i="1"/>
  <c r="M110" i="1"/>
  <c r="M108" i="1" s="1"/>
  <c r="N5" i="1"/>
  <c r="N9" i="1"/>
  <c r="T320" i="1"/>
  <c r="T314" i="1" s="1"/>
  <c r="U317" i="1"/>
  <c r="T311" i="1"/>
  <c r="S297" i="1"/>
  <c r="P375" i="1"/>
  <c r="P323" i="1"/>
  <c r="P329" i="1" s="1"/>
  <c r="P401" i="1"/>
  <c r="P407" i="1"/>
  <c r="P410" i="1" s="1"/>
  <c r="P152" i="1"/>
  <c r="P240" i="1" s="1"/>
  <c r="P258" i="1" s="1"/>
  <c r="P154" i="1"/>
  <c r="P155" i="1" s="1"/>
  <c r="Q400" i="1"/>
  <c r="L25" i="1"/>
  <c r="S339" i="1"/>
  <c r="U319" i="1"/>
  <c r="U313" i="1" s="1"/>
  <c r="T313" i="1"/>
  <c r="T291" i="1" s="1"/>
  <c r="Q357" i="1"/>
  <c r="Q341" i="1"/>
  <c r="Q349" i="1"/>
  <c r="T130" i="1"/>
  <c r="L35" i="1"/>
  <c r="L36" i="1" s="1"/>
  <c r="O144" i="1"/>
  <c r="O145" i="1" s="1"/>
  <c r="O142" i="1"/>
  <c r="O239" i="1" s="1"/>
  <c r="R344" i="1"/>
  <c r="R404" i="1"/>
  <c r="U392" i="1"/>
  <c r="U361" i="1" s="1"/>
  <c r="T361" i="1"/>
  <c r="T339" i="1" s="1"/>
  <c r="Q288" i="1"/>
  <c r="R306" i="1"/>
  <c r="Q42" i="1"/>
  <c r="Q121" i="1"/>
  <c r="M19" i="1"/>
  <c r="Q348" i="1"/>
  <c r="R363" i="1"/>
  <c r="R336" i="1"/>
  <c r="P357" i="1"/>
  <c r="P341" i="1"/>
  <c r="P349" i="1"/>
  <c r="P350" i="1"/>
  <c r="P351" i="1"/>
  <c r="M54" i="1"/>
  <c r="Q351" i="1"/>
  <c r="P411" i="1" l="1"/>
  <c r="P8" i="1"/>
  <c r="U291" i="1"/>
  <c r="T297" i="1"/>
  <c r="T366" i="1"/>
  <c r="T338" i="1" s="1"/>
  <c r="R321" i="1"/>
  <c r="R308" i="1"/>
  <c r="R129" i="1"/>
  <c r="R127" i="1" s="1"/>
  <c r="R249" i="1" s="1"/>
  <c r="R248" i="1" s="1"/>
  <c r="P140" i="1"/>
  <c r="O113" i="1"/>
  <c r="Q294" i="1"/>
  <c r="Q38" i="1"/>
  <c r="Q37" i="1" s="1"/>
  <c r="Q302" i="1"/>
  <c r="Q301" i="1"/>
  <c r="Q304" i="1"/>
  <c r="Q303" i="1"/>
  <c r="Q149" i="1"/>
  <c r="P111" i="1"/>
  <c r="P158" i="1"/>
  <c r="P192" i="1" s="1"/>
  <c r="N68" i="1"/>
  <c r="N23" i="1"/>
  <c r="N6" i="1"/>
  <c r="N65" i="1"/>
  <c r="N44" i="1"/>
  <c r="N32" i="1"/>
  <c r="N22" i="1"/>
  <c r="N21" i="1"/>
  <c r="N20" i="1"/>
  <c r="N48" i="1"/>
  <c r="N214" i="1"/>
  <c r="N163" i="1" s="1"/>
  <c r="N218" i="1"/>
  <c r="N186" i="1" s="1"/>
  <c r="N216" i="1"/>
  <c r="N179" i="1" s="1"/>
  <c r="N55" i="1"/>
  <c r="N217" i="1"/>
  <c r="N180" i="1" s="1"/>
  <c r="N213" i="1"/>
  <c r="N52" i="1"/>
  <c r="N51" i="1"/>
  <c r="O188" i="1"/>
  <c r="M164" i="1"/>
  <c r="M212" i="1"/>
  <c r="U102" i="1"/>
  <c r="S363" i="1"/>
  <c r="S336" i="1"/>
  <c r="O9" i="1"/>
  <c r="O5" i="1"/>
  <c r="O19" i="1"/>
  <c r="R342" i="1"/>
  <c r="R354" i="1"/>
  <c r="R335" i="1"/>
  <c r="R348" i="1"/>
  <c r="R402" i="1"/>
  <c r="R400" i="1" s="1"/>
  <c r="T345" i="1"/>
  <c r="T405" i="1"/>
  <c r="N19" i="1"/>
  <c r="S345" i="1"/>
  <c r="S405" i="1"/>
  <c r="M25" i="1"/>
  <c r="U289" i="1"/>
  <c r="T295" i="1"/>
  <c r="U130" i="1"/>
  <c r="L62" i="1"/>
  <c r="N131" i="1"/>
  <c r="N238" i="1" s="1"/>
  <c r="N45" i="1" s="1"/>
  <c r="N54" i="1" s="1"/>
  <c r="M35" i="1"/>
  <c r="M36" i="1" s="1"/>
  <c r="U91" i="1"/>
  <c r="T364" i="1"/>
  <c r="Q215" i="1"/>
  <c r="U320" i="1"/>
  <c r="U314" i="1" s="1"/>
  <c r="U292" i="1" s="1"/>
  <c r="U311" i="1"/>
  <c r="T298" i="1"/>
  <c r="Q410" i="1"/>
  <c r="Q375" i="1"/>
  <c r="Q401" i="1"/>
  <c r="Q323" i="1"/>
  <c r="Q329" i="1" s="1"/>
  <c r="Q407" i="1"/>
  <c r="L241" i="1"/>
  <c r="L229" i="1"/>
  <c r="U298" i="1" l="1"/>
  <c r="U367" i="1"/>
  <c r="U339" i="1" s="1"/>
  <c r="P188" i="1"/>
  <c r="U295" i="1"/>
  <c r="R323" i="1"/>
  <c r="R329" i="1" s="1"/>
  <c r="R401" i="1"/>
  <c r="R375" i="1"/>
  <c r="R407" i="1"/>
  <c r="R410" i="1" s="1"/>
  <c r="S335" i="1"/>
  <c r="S342" i="1"/>
  <c r="S354" i="1"/>
  <c r="S402" i="1"/>
  <c r="S400" i="1" s="1"/>
  <c r="R288" i="1"/>
  <c r="S306" i="1"/>
  <c r="R42" i="1"/>
  <c r="R121" i="1"/>
  <c r="U364" i="1"/>
  <c r="T344" i="1"/>
  <c r="T404" i="1"/>
  <c r="R341" i="1"/>
  <c r="R357" i="1"/>
  <c r="R349" i="1"/>
  <c r="R350" i="1"/>
  <c r="R351" i="1"/>
  <c r="N164" i="1"/>
  <c r="N212" i="1"/>
  <c r="Q411" i="1"/>
  <c r="Q8" i="1"/>
  <c r="N133" i="1"/>
  <c r="N134" i="1" s="1"/>
  <c r="P185" i="1"/>
  <c r="L82" i="1"/>
  <c r="L63" i="1"/>
  <c r="L59" i="1"/>
  <c r="L60" i="1" s="1"/>
  <c r="M62" i="1"/>
  <c r="M229" i="1"/>
  <c r="M241" i="1"/>
  <c r="N62" i="1"/>
  <c r="N25" i="1"/>
  <c r="Q154" i="1"/>
  <c r="Q155" i="1" s="1"/>
  <c r="Q152" i="1"/>
  <c r="Q240" i="1" s="1"/>
  <c r="Q258" i="1" s="1"/>
  <c r="U297" i="1"/>
  <c r="N177" i="1"/>
  <c r="N195" i="1" s="1"/>
  <c r="N35" i="1"/>
  <c r="N36" i="1" s="1"/>
  <c r="P142" i="1"/>
  <c r="P239" i="1" s="1"/>
  <c r="U366" i="1"/>
  <c r="U338" i="1" s="1"/>
  <c r="T363" i="1"/>
  <c r="T336" i="1"/>
  <c r="O68" i="1"/>
  <c r="O32" i="1"/>
  <c r="O23" i="1"/>
  <c r="O65" i="1"/>
  <c r="O6" i="1"/>
  <c r="O44" i="1"/>
  <c r="O22" i="1"/>
  <c r="O21" i="1"/>
  <c r="O55" i="1"/>
  <c r="O216" i="1"/>
  <c r="O179" i="1" s="1"/>
  <c r="O214" i="1"/>
  <c r="O163" i="1" s="1"/>
  <c r="O218" i="1"/>
  <c r="O186" i="1" s="1"/>
  <c r="O217" i="1"/>
  <c r="O180" i="1" s="1"/>
  <c r="O20" i="1"/>
  <c r="O48" i="1"/>
  <c r="O213" i="1"/>
  <c r="O52" i="1"/>
  <c r="O51" i="1"/>
  <c r="P5" i="1"/>
  <c r="P19" i="1"/>
  <c r="P9" i="1"/>
  <c r="R411" i="1" l="1"/>
  <c r="R8" i="1"/>
  <c r="U344" i="1"/>
  <c r="U404" i="1"/>
  <c r="Q111" i="1"/>
  <c r="R149" i="1"/>
  <c r="Q158" i="1"/>
  <c r="Q192" i="1" s="1"/>
  <c r="L84" i="1"/>
  <c r="L87" i="1" s="1"/>
  <c r="P65" i="1"/>
  <c r="P23" i="1"/>
  <c r="P68" i="1"/>
  <c r="P32" i="1"/>
  <c r="P6" i="1"/>
  <c r="P44" i="1"/>
  <c r="P22" i="1"/>
  <c r="P21" i="1"/>
  <c r="P48" i="1"/>
  <c r="P55" i="1"/>
  <c r="P20" i="1"/>
  <c r="P218" i="1"/>
  <c r="P186" i="1" s="1"/>
  <c r="P217" i="1"/>
  <c r="P180" i="1" s="1"/>
  <c r="P216" i="1"/>
  <c r="P179" i="1" s="1"/>
  <c r="P214" i="1"/>
  <c r="P163" i="1" s="1"/>
  <c r="P213" i="1"/>
  <c r="P51" i="1"/>
  <c r="P52" i="1"/>
  <c r="P144" i="1"/>
  <c r="P145" i="1" s="1"/>
  <c r="N82" i="1"/>
  <c r="N59" i="1"/>
  <c r="N60" i="1" s="1"/>
  <c r="N63" i="1"/>
  <c r="N136" i="1"/>
  <c r="N137" i="1" s="1"/>
  <c r="O126" i="1"/>
  <c r="N110" i="1"/>
  <c r="N108" i="1" s="1"/>
  <c r="U363" i="1"/>
  <c r="U336" i="1"/>
  <c r="S341" i="1"/>
  <c r="S357" i="1"/>
  <c r="S349" i="1"/>
  <c r="S350" i="1"/>
  <c r="S351" i="1"/>
  <c r="O177" i="1"/>
  <c r="O195" i="1" s="1"/>
  <c r="O25" i="1"/>
  <c r="Q19" i="1"/>
  <c r="Q5" i="1"/>
  <c r="Q9" i="1"/>
  <c r="R215" i="1"/>
  <c r="S348" i="1"/>
  <c r="O164" i="1"/>
  <c r="O212" i="1"/>
  <c r="M82" i="1"/>
  <c r="M59" i="1"/>
  <c r="M60" i="1" s="1"/>
  <c r="M63" i="1"/>
  <c r="N241" i="1"/>
  <c r="N229" i="1"/>
  <c r="S308" i="1"/>
  <c r="S321" i="1"/>
  <c r="S129" i="1"/>
  <c r="S127" i="1" s="1"/>
  <c r="S249" i="1" s="1"/>
  <c r="S248" i="1" s="1"/>
  <c r="U345" i="1"/>
  <c r="U405" i="1"/>
  <c r="T354" i="1"/>
  <c r="T335" i="1"/>
  <c r="T342" i="1"/>
  <c r="T348" i="1"/>
  <c r="T402" i="1"/>
  <c r="T400" i="1" s="1"/>
  <c r="R294" i="1"/>
  <c r="R38" i="1"/>
  <c r="R37" i="1" s="1"/>
  <c r="R302" i="1"/>
  <c r="R301" i="1"/>
  <c r="R304" i="1"/>
  <c r="R303" i="1"/>
  <c r="Q52" i="1"/>
  <c r="S401" i="1"/>
  <c r="S375" i="1"/>
  <c r="S323" i="1"/>
  <c r="S329" i="1" s="1"/>
  <c r="S407" i="1"/>
  <c r="S410" i="1" s="1"/>
  <c r="S411" i="1" l="1"/>
  <c r="S8" i="1"/>
  <c r="L237" i="1"/>
  <c r="L236" i="1" s="1"/>
  <c r="L88" i="1"/>
  <c r="L101" i="1"/>
  <c r="M259" i="1" s="1"/>
  <c r="M255" i="1" s="1"/>
  <c r="L90" i="1"/>
  <c r="L205" i="1" s="1"/>
  <c r="T401" i="1"/>
  <c r="T375" i="1"/>
  <c r="T323" i="1"/>
  <c r="T329" i="1" s="1"/>
  <c r="T407" i="1"/>
  <c r="T410" i="1" s="1"/>
  <c r="O241" i="1"/>
  <c r="O229" i="1"/>
  <c r="N84" i="1"/>
  <c r="N87" i="1" s="1"/>
  <c r="Q188" i="1"/>
  <c r="S288" i="1"/>
  <c r="T306" i="1"/>
  <c r="S42" i="1"/>
  <c r="S121" i="1"/>
  <c r="U354" i="1"/>
  <c r="U335" i="1"/>
  <c r="U348" i="1"/>
  <c r="U342" i="1"/>
  <c r="U402" i="1"/>
  <c r="U400" i="1" s="1"/>
  <c r="P113" i="1"/>
  <c r="Q140" i="1"/>
  <c r="P25" i="1"/>
  <c r="R152" i="1"/>
  <c r="R240" i="1" s="1"/>
  <c r="R258" i="1" s="1"/>
  <c r="T341" i="1"/>
  <c r="T357" i="1"/>
  <c r="T349" i="1"/>
  <c r="T351" i="1"/>
  <c r="T350" i="1"/>
  <c r="O131" i="1"/>
  <c r="O238" i="1" s="1"/>
  <c r="O45" i="1" s="1"/>
  <c r="P212" i="1"/>
  <c r="P164" i="1"/>
  <c r="Q185" i="1"/>
  <c r="R51" i="1"/>
  <c r="R5" i="1"/>
  <c r="R9" i="1"/>
  <c r="M84" i="1"/>
  <c r="M87" i="1" s="1"/>
  <c r="Q65" i="1"/>
  <c r="Q68" i="1"/>
  <c r="Q32" i="1"/>
  <c r="Q23" i="1"/>
  <c r="Q6" i="1"/>
  <c r="Q44" i="1"/>
  <c r="Q22" i="1"/>
  <c r="Q21" i="1"/>
  <c r="Q55" i="1"/>
  <c r="Q217" i="1"/>
  <c r="Q180" i="1" s="1"/>
  <c r="Q218" i="1"/>
  <c r="Q186" i="1" s="1"/>
  <c r="Q20" i="1"/>
  <c r="Q216" i="1"/>
  <c r="Q179" i="1" s="1"/>
  <c r="Q214" i="1"/>
  <c r="Q163" i="1" s="1"/>
  <c r="Q48" i="1"/>
  <c r="Q213" i="1"/>
  <c r="Q51" i="1"/>
  <c r="P177" i="1"/>
  <c r="P195" i="1" s="1"/>
  <c r="N237" i="1" l="1"/>
  <c r="N236" i="1" s="1"/>
  <c r="N88" i="1"/>
  <c r="N101" i="1"/>
  <c r="O259" i="1" s="1"/>
  <c r="O255" i="1" s="1"/>
  <c r="N90" i="1"/>
  <c r="N89" i="1" s="1"/>
  <c r="N98" i="1" s="1"/>
  <c r="T411" i="1"/>
  <c r="T8" i="1"/>
  <c r="M237" i="1"/>
  <c r="M236" i="1" s="1"/>
  <c r="M88" i="1"/>
  <c r="M101" i="1"/>
  <c r="N259" i="1" s="1"/>
  <c r="N255" i="1" s="1"/>
  <c r="M90" i="1"/>
  <c r="M89" i="1" s="1"/>
  <c r="M98" i="1" s="1"/>
  <c r="Q25" i="1"/>
  <c r="S215" i="1"/>
  <c r="Q142" i="1"/>
  <c r="Q239" i="1" s="1"/>
  <c r="L89" i="1"/>
  <c r="Q212" i="1"/>
  <c r="Q164" i="1"/>
  <c r="T321" i="1"/>
  <c r="T308" i="1"/>
  <c r="T129" i="1"/>
  <c r="T127" i="1" s="1"/>
  <c r="T249" i="1" s="1"/>
  <c r="T248" i="1" s="1"/>
  <c r="U410" i="1"/>
  <c r="U401" i="1"/>
  <c r="U375" i="1"/>
  <c r="U323" i="1"/>
  <c r="U329" i="1" s="1"/>
  <c r="U407" i="1"/>
  <c r="S294" i="1"/>
  <c r="S38" i="1"/>
  <c r="S37" i="1" s="1"/>
  <c r="S302" i="1"/>
  <c r="S304" i="1"/>
  <c r="S301" i="1"/>
  <c r="S303" i="1"/>
  <c r="L263" i="1"/>
  <c r="L267" i="1" s="1"/>
  <c r="L245" i="1"/>
  <c r="L270" i="1" s="1"/>
  <c r="L271" i="1" s="1"/>
  <c r="P229" i="1"/>
  <c r="P241" i="1"/>
  <c r="Q177" i="1"/>
  <c r="Q195" i="1" s="1"/>
  <c r="R65" i="1"/>
  <c r="R6" i="1"/>
  <c r="R68" i="1"/>
  <c r="R32" i="1"/>
  <c r="R23" i="1"/>
  <c r="R44" i="1"/>
  <c r="R22" i="1"/>
  <c r="R21" i="1"/>
  <c r="R218" i="1"/>
  <c r="R186" i="1" s="1"/>
  <c r="R214" i="1"/>
  <c r="R163" i="1" s="1"/>
  <c r="R20" i="1"/>
  <c r="R217" i="1"/>
  <c r="R180" i="1" s="1"/>
  <c r="R55" i="1"/>
  <c r="R48" i="1"/>
  <c r="R216" i="1"/>
  <c r="R179" i="1" s="1"/>
  <c r="R213" i="1"/>
  <c r="O54" i="1"/>
  <c r="O35" i="1"/>
  <c r="R52" i="1"/>
  <c r="S9" i="1"/>
  <c r="S5" i="1"/>
  <c r="R19" i="1"/>
  <c r="O133" i="1"/>
  <c r="O134" i="1" s="1"/>
  <c r="R154" i="1"/>
  <c r="R155" i="1" s="1"/>
  <c r="U357" i="1"/>
  <c r="U341" i="1"/>
  <c r="U349" i="1"/>
  <c r="U351" i="1"/>
  <c r="U350" i="1"/>
  <c r="Q229" i="1" l="1"/>
  <c r="Q241" i="1"/>
  <c r="R212" i="1"/>
  <c r="R164" i="1"/>
  <c r="R25" i="1"/>
  <c r="M263" i="1"/>
  <c r="M245" i="1"/>
  <c r="M270" i="1" s="1"/>
  <c r="M271" i="1" s="1"/>
  <c r="R111" i="1"/>
  <c r="S149" i="1"/>
  <c r="R158" i="1"/>
  <c r="O36" i="1"/>
  <c r="O62" i="1"/>
  <c r="L173" i="1"/>
  <c r="M266" i="1"/>
  <c r="M205" i="1"/>
  <c r="N205" i="1" s="1"/>
  <c r="T9" i="1"/>
  <c r="T5" i="1"/>
  <c r="O136" i="1"/>
  <c r="O137" i="1" s="1"/>
  <c r="P126" i="1"/>
  <c r="O110" i="1"/>
  <c r="O108" i="1" s="1"/>
  <c r="S68" i="1"/>
  <c r="S32" i="1"/>
  <c r="S65" i="1"/>
  <c r="S23" i="1"/>
  <c r="S6" i="1"/>
  <c r="S44" i="1"/>
  <c r="S22" i="1"/>
  <c r="S21" i="1"/>
  <c r="S20" i="1"/>
  <c r="S55" i="1"/>
  <c r="S217" i="1"/>
  <c r="S180" i="1" s="1"/>
  <c r="S218" i="1"/>
  <c r="S186" i="1" s="1"/>
  <c r="S216" i="1"/>
  <c r="S179" i="1" s="1"/>
  <c r="S48" i="1"/>
  <c r="S214" i="1"/>
  <c r="S163" i="1" s="1"/>
  <c r="S213" i="1"/>
  <c r="U411" i="1"/>
  <c r="U8" i="1"/>
  <c r="S19" i="1"/>
  <c r="S51" i="1"/>
  <c r="Q144" i="1"/>
  <c r="Q145" i="1" s="1"/>
  <c r="L199" i="1"/>
  <c r="L98" i="1"/>
  <c r="T288" i="1"/>
  <c r="U306" i="1"/>
  <c r="T42" i="1"/>
  <c r="T121" i="1"/>
  <c r="N263" i="1"/>
  <c r="N245" i="1"/>
  <c r="N270" i="1" s="1"/>
  <c r="N271" i="1" s="1"/>
  <c r="M199" i="1" l="1"/>
  <c r="L197" i="1"/>
  <c r="L207" i="1" s="1"/>
  <c r="S212" i="1"/>
  <c r="S164" i="1"/>
  <c r="L67" i="1"/>
  <c r="L161" i="1"/>
  <c r="L175" i="1" s="1"/>
  <c r="L208" i="1" s="1"/>
  <c r="Q113" i="1"/>
  <c r="R140" i="1"/>
  <c r="P131" i="1"/>
  <c r="P238" i="1" s="1"/>
  <c r="P45" i="1" s="1"/>
  <c r="P133" i="1"/>
  <c r="P134" i="1" s="1"/>
  <c r="T215" i="1"/>
  <c r="O63" i="1"/>
  <c r="O59" i="1"/>
  <c r="O60" i="1" s="1"/>
  <c r="O82" i="1"/>
  <c r="T68" i="1"/>
  <c r="T32" i="1"/>
  <c r="T23" i="1"/>
  <c r="T6" i="1"/>
  <c r="T65" i="1"/>
  <c r="T44" i="1"/>
  <c r="T22" i="1"/>
  <c r="T21" i="1"/>
  <c r="T217" i="1"/>
  <c r="T180" i="1" s="1"/>
  <c r="T214" i="1"/>
  <c r="T163" i="1" s="1"/>
  <c r="T55" i="1"/>
  <c r="T218" i="1"/>
  <c r="T186" i="1" s="1"/>
  <c r="T20" i="1"/>
  <c r="T216" i="1"/>
  <c r="T179" i="1" s="1"/>
  <c r="T48" i="1"/>
  <c r="T213" i="1"/>
  <c r="U308" i="1"/>
  <c r="U321" i="1"/>
  <c r="U129" i="1"/>
  <c r="U127" i="1" s="1"/>
  <c r="U249" i="1" s="1"/>
  <c r="U248" i="1" s="1"/>
  <c r="T19" i="1"/>
  <c r="R192" i="1"/>
  <c r="R185" i="1"/>
  <c r="R229" i="1"/>
  <c r="R241" i="1"/>
  <c r="T294" i="1"/>
  <c r="T38" i="1"/>
  <c r="T37" i="1" s="1"/>
  <c r="T302" i="1"/>
  <c r="T304" i="1"/>
  <c r="T303" i="1"/>
  <c r="T301" i="1"/>
  <c r="S152" i="1"/>
  <c r="S240" i="1" s="1"/>
  <c r="S258" i="1" s="1"/>
  <c r="S154" i="1"/>
  <c r="S155" i="1" s="1"/>
  <c r="U5" i="1"/>
  <c r="U9" i="1"/>
  <c r="U19" i="1"/>
  <c r="S25" i="1"/>
  <c r="M267" i="1"/>
  <c r="T51" i="1" l="1"/>
  <c r="U288" i="1"/>
  <c r="U42" i="1"/>
  <c r="U121" i="1"/>
  <c r="T25" i="1"/>
  <c r="U65" i="1"/>
  <c r="U23" i="1"/>
  <c r="U6" i="1"/>
  <c r="U68" i="1"/>
  <c r="U32" i="1"/>
  <c r="U44" i="1"/>
  <c r="U22" i="1"/>
  <c r="U21" i="1"/>
  <c r="U218" i="1"/>
  <c r="U186" i="1" s="1"/>
  <c r="U20" i="1"/>
  <c r="U217" i="1"/>
  <c r="U180" i="1" s="1"/>
  <c r="U55" i="1"/>
  <c r="U214" i="1"/>
  <c r="U163" i="1" s="1"/>
  <c r="U48" i="1"/>
  <c r="U216" i="1"/>
  <c r="U179" i="1" s="1"/>
  <c r="U213" i="1"/>
  <c r="P136" i="1"/>
  <c r="P137" i="1" s="1"/>
  <c r="Q126" i="1"/>
  <c r="P110" i="1"/>
  <c r="P108" i="1" s="1"/>
  <c r="S111" i="1"/>
  <c r="T149" i="1"/>
  <c r="S158" i="1"/>
  <c r="S185" i="1" s="1"/>
  <c r="T212" i="1"/>
  <c r="T164" i="1"/>
  <c r="P54" i="1"/>
  <c r="P35" i="1"/>
  <c r="S241" i="1"/>
  <c r="S229" i="1"/>
  <c r="N266" i="1"/>
  <c r="N267" i="1" s="1"/>
  <c r="M173" i="1"/>
  <c r="S52" i="1"/>
  <c r="R177" i="1"/>
  <c r="O84" i="1"/>
  <c r="O87" i="1"/>
  <c r="R142" i="1"/>
  <c r="R239" i="1" s="1"/>
  <c r="R144" i="1"/>
  <c r="R145" i="1" s="1"/>
  <c r="N199" i="1"/>
  <c r="M197" i="1"/>
  <c r="M207" i="1" s="1"/>
  <c r="R188" i="1"/>
  <c r="S177" i="1" l="1"/>
  <c r="S140" i="1"/>
  <c r="R113" i="1"/>
  <c r="T241" i="1"/>
  <c r="T229" i="1"/>
  <c r="M67" i="1"/>
  <c r="M161" i="1"/>
  <c r="M175" i="1" s="1"/>
  <c r="M208" i="1" s="1"/>
  <c r="O237" i="1"/>
  <c r="O236" i="1" s="1"/>
  <c r="O88" i="1"/>
  <c r="O90" i="1"/>
  <c r="O205" i="1" s="1"/>
  <c r="O101" i="1"/>
  <c r="P259" i="1" s="1"/>
  <c r="P255" i="1" s="1"/>
  <c r="O266" i="1"/>
  <c r="N173" i="1"/>
  <c r="T152" i="1"/>
  <c r="T240" i="1" s="1"/>
  <c r="T258" i="1" s="1"/>
  <c r="T154" i="1"/>
  <c r="T155" i="1" s="1"/>
  <c r="U25" i="1"/>
  <c r="U215" i="1"/>
  <c r="U294" i="1"/>
  <c r="U38" i="1"/>
  <c r="U37" i="1" s="1"/>
  <c r="U302" i="1"/>
  <c r="U304" i="1"/>
  <c r="U303" i="1"/>
  <c r="U301" i="1"/>
  <c r="S192" i="1"/>
  <c r="R195" i="1"/>
  <c r="P36" i="1"/>
  <c r="P62" i="1"/>
  <c r="Q131" i="1"/>
  <c r="Q238" i="1" s="1"/>
  <c r="Q45" i="1" s="1"/>
  <c r="Q133" i="1"/>
  <c r="Q134" i="1" s="1"/>
  <c r="N197" i="1"/>
  <c r="N207" i="1" s="1"/>
  <c r="U212" i="1"/>
  <c r="U164" i="1"/>
  <c r="U229" i="1" l="1"/>
  <c r="U241" i="1"/>
  <c r="S188" i="1"/>
  <c r="S195" i="1" s="1"/>
  <c r="N67" i="1"/>
  <c r="N161" i="1"/>
  <c r="N175" i="1" s="1"/>
  <c r="N208" i="1" s="1"/>
  <c r="R126" i="1"/>
  <c r="Q110" i="1"/>
  <c r="Q108" i="1" s="1"/>
  <c r="Q136" i="1"/>
  <c r="Q137" i="1" s="1"/>
  <c r="Q54" i="1"/>
  <c r="Q35" i="1"/>
  <c r="O89" i="1"/>
  <c r="P82" i="1"/>
  <c r="P59" i="1"/>
  <c r="P60" i="1" s="1"/>
  <c r="P63" i="1"/>
  <c r="U51" i="1"/>
  <c r="S142" i="1"/>
  <c r="S239" i="1" s="1"/>
  <c r="T111" i="1"/>
  <c r="U149" i="1"/>
  <c r="T158" i="1"/>
  <c r="T185" i="1" s="1"/>
  <c r="O263" i="1"/>
  <c r="O267" i="1" s="1"/>
  <c r="O245" i="1"/>
  <c r="O270" i="1" s="1"/>
  <c r="O271" i="1" s="1"/>
  <c r="T52" i="1"/>
  <c r="P266" i="1" l="1"/>
  <c r="O173" i="1"/>
  <c r="O98" i="1"/>
  <c r="O199" i="1"/>
  <c r="T177" i="1"/>
  <c r="R133" i="1"/>
  <c r="R134" i="1" s="1"/>
  <c r="R131" i="1"/>
  <c r="R238" i="1" s="1"/>
  <c r="R45" i="1" s="1"/>
  <c r="U152" i="1"/>
  <c r="U240" i="1" s="1"/>
  <c r="U258" i="1" s="1"/>
  <c r="P84" i="1"/>
  <c r="P87" i="1"/>
  <c r="Q36" i="1"/>
  <c r="Q62" i="1"/>
  <c r="S144" i="1"/>
  <c r="S145" i="1" s="1"/>
  <c r="T192" i="1"/>
  <c r="S113" i="1" l="1"/>
  <c r="T140" i="1"/>
  <c r="S126" i="1"/>
  <c r="R110" i="1"/>
  <c r="R108" i="1" s="1"/>
  <c r="R136" i="1"/>
  <c r="R137" i="1" s="1"/>
  <c r="Q63" i="1"/>
  <c r="Q59" i="1"/>
  <c r="Q60" i="1" s="1"/>
  <c r="Q82" i="1"/>
  <c r="P88" i="1"/>
  <c r="P237" i="1"/>
  <c r="P236" i="1" s="1"/>
  <c r="P101" i="1"/>
  <c r="Q259" i="1" s="1"/>
  <c r="Q255" i="1" s="1"/>
  <c r="P90" i="1"/>
  <c r="P205" i="1" s="1"/>
  <c r="O197" i="1"/>
  <c r="O207" i="1" s="1"/>
  <c r="U52" i="1"/>
  <c r="O67" i="1"/>
  <c r="O161" i="1"/>
  <c r="O175" i="1" s="1"/>
  <c r="U154" i="1"/>
  <c r="U155" i="1" s="1"/>
  <c r="T188" i="1"/>
  <c r="T195" i="1" s="1"/>
  <c r="R54" i="1"/>
  <c r="R35" i="1"/>
  <c r="Q84" i="1" l="1"/>
  <c r="Q87" i="1" s="1"/>
  <c r="U111" i="1"/>
  <c r="U158" i="1"/>
  <c r="O208" i="1"/>
  <c r="P263" i="1"/>
  <c r="P267" i="1" s="1"/>
  <c r="P245" i="1"/>
  <c r="P270" i="1" s="1"/>
  <c r="P271" i="1" s="1"/>
  <c r="S131" i="1"/>
  <c r="S238" i="1" s="1"/>
  <c r="S45" i="1" s="1"/>
  <c r="S133" i="1"/>
  <c r="S134" i="1" s="1"/>
  <c r="R36" i="1"/>
  <c r="R62" i="1"/>
  <c r="P89" i="1"/>
  <c r="T142" i="1"/>
  <c r="T239" i="1" s="1"/>
  <c r="T144" i="1"/>
  <c r="T145" i="1" s="1"/>
  <c r="Q88" i="1" l="1"/>
  <c r="Q237" i="1"/>
  <c r="Q236" i="1" s="1"/>
  <c r="Q101" i="1"/>
  <c r="R259" i="1" s="1"/>
  <c r="R255" i="1" s="1"/>
  <c r="Q90" i="1"/>
  <c r="Q205" i="1" s="1"/>
  <c r="P98" i="1"/>
  <c r="P199" i="1"/>
  <c r="R63" i="1"/>
  <c r="R59" i="1"/>
  <c r="R60" i="1" s="1"/>
  <c r="R82" i="1"/>
  <c r="U185" i="1"/>
  <c r="U177" i="1" s="1"/>
  <c r="U192" i="1"/>
  <c r="U188" i="1" s="1"/>
  <c r="S136" i="1"/>
  <c r="S137" i="1" s="1"/>
  <c r="S110" i="1"/>
  <c r="S108" i="1" s="1"/>
  <c r="T126" i="1"/>
  <c r="S54" i="1"/>
  <c r="S35" i="1"/>
  <c r="T113" i="1"/>
  <c r="U140" i="1"/>
  <c r="Q266" i="1"/>
  <c r="P173" i="1"/>
  <c r="T131" i="1" l="1"/>
  <c r="T238" i="1" s="1"/>
  <c r="T45" i="1" s="1"/>
  <c r="P197" i="1"/>
  <c r="P207" i="1" s="1"/>
  <c r="P67" i="1"/>
  <c r="P161" i="1"/>
  <c r="P175" i="1" s="1"/>
  <c r="Q267" i="1"/>
  <c r="U142" i="1"/>
  <c r="U239" i="1" s="1"/>
  <c r="U144" i="1"/>
  <c r="U145" i="1" s="1"/>
  <c r="U113" i="1" s="1"/>
  <c r="U195" i="1"/>
  <c r="Q89" i="1"/>
  <c r="Q98" i="1" s="1"/>
  <c r="R87" i="1"/>
  <c r="R84" i="1"/>
  <c r="Q263" i="1"/>
  <c r="Q245" i="1"/>
  <c r="Q270" i="1" s="1"/>
  <c r="Q271" i="1" s="1"/>
  <c r="S36" i="1"/>
  <c r="S62" i="1"/>
  <c r="R88" i="1" l="1"/>
  <c r="R237" i="1"/>
  <c r="R236" i="1" s="1"/>
  <c r="R90" i="1"/>
  <c r="R205" i="1" s="1"/>
  <c r="R101" i="1"/>
  <c r="S259" i="1" s="1"/>
  <c r="S255" i="1" s="1"/>
  <c r="S59" i="1"/>
  <c r="S60" i="1" s="1"/>
  <c r="S63" i="1"/>
  <c r="S82" i="1"/>
  <c r="Q199" i="1"/>
  <c r="T54" i="1"/>
  <c r="T35" i="1"/>
  <c r="Q173" i="1"/>
  <c r="R266" i="1"/>
  <c r="T133" i="1"/>
  <c r="T134" i="1" s="1"/>
  <c r="P208" i="1"/>
  <c r="S84" i="1" l="1"/>
  <c r="S87" i="1" s="1"/>
  <c r="T110" i="1"/>
  <c r="T108" i="1" s="1"/>
  <c r="T136" i="1"/>
  <c r="T137" i="1" s="1"/>
  <c r="U126" i="1"/>
  <c r="R267" i="1"/>
  <c r="Q67" i="1"/>
  <c r="Q161" i="1"/>
  <c r="Q175" i="1" s="1"/>
  <c r="T36" i="1"/>
  <c r="T62" i="1"/>
  <c r="R263" i="1"/>
  <c r="R245" i="1"/>
  <c r="R270" i="1" s="1"/>
  <c r="R271" i="1" s="1"/>
  <c r="R199" i="1"/>
  <c r="Q197" i="1"/>
  <c r="Q207" i="1" s="1"/>
  <c r="R89" i="1"/>
  <c r="R98" i="1" s="1"/>
  <c r="S237" i="1" l="1"/>
  <c r="S236" i="1" s="1"/>
  <c r="S88" i="1"/>
  <c r="S90" i="1"/>
  <c r="S205" i="1" s="1"/>
  <c r="S101" i="1"/>
  <c r="T259" i="1" s="1"/>
  <c r="T255" i="1" s="1"/>
  <c r="R197" i="1"/>
  <c r="R207" i="1" s="1"/>
  <c r="S266" i="1"/>
  <c r="R173" i="1"/>
  <c r="U131" i="1"/>
  <c r="U238" i="1" s="1"/>
  <c r="U45" i="1" s="1"/>
  <c r="T63" i="1"/>
  <c r="T59" i="1"/>
  <c r="T60" i="1" s="1"/>
  <c r="T82" i="1"/>
  <c r="Q208" i="1"/>
  <c r="T84" i="1" l="1"/>
  <c r="T87" i="1" s="1"/>
  <c r="U54" i="1"/>
  <c r="U35" i="1"/>
  <c r="S89" i="1"/>
  <c r="U133" i="1"/>
  <c r="U134" i="1" s="1"/>
  <c r="R67" i="1"/>
  <c r="R161" i="1"/>
  <c r="R175" i="1" s="1"/>
  <c r="R208" i="1" s="1"/>
  <c r="S263" i="1"/>
  <c r="S267" i="1" s="1"/>
  <c r="S245" i="1"/>
  <c r="S270" i="1" s="1"/>
  <c r="S271" i="1" s="1"/>
  <c r="S173" i="1" l="1"/>
  <c r="T266" i="1"/>
  <c r="T88" i="1"/>
  <c r="T237" i="1"/>
  <c r="T236" i="1" s="1"/>
  <c r="T101" i="1"/>
  <c r="U259" i="1" s="1"/>
  <c r="U255" i="1" s="1"/>
  <c r="T90" i="1"/>
  <c r="T205" i="1" s="1"/>
  <c r="U36" i="1"/>
  <c r="U62" i="1"/>
  <c r="U136" i="1"/>
  <c r="U137" i="1" s="1"/>
  <c r="U110" i="1"/>
  <c r="U108" i="1" s="1"/>
  <c r="S98" i="1"/>
  <c r="S199" i="1"/>
  <c r="T199" i="1" l="1"/>
  <c r="S197" i="1"/>
  <c r="S207" i="1" s="1"/>
  <c r="T263" i="1"/>
  <c r="T267" i="1" s="1"/>
  <c r="T245" i="1"/>
  <c r="T270" i="1" s="1"/>
  <c r="T271" i="1" s="1"/>
  <c r="T89" i="1"/>
  <c r="T98" i="1" s="1"/>
  <c r="U82" i="1"/>
  <c r="U63" i="1"/>
  <c r="U59" i="1"/>
  <c r="U60" i="1" s="1"/>
  <c r="S67" i="1"/>
  <c r="S161" i="1"/>
  <c r="S175" i="1" s="1"/>
  <c r="S208" i="1" s="1"/>
  <c r="U266" i="1" l="1"/>
  <c r="T173" i="1"/>
  <c r="T197" i="1"/>
  <c r="T207" i="1" s="1"/>
  <c r="U84" i="1"/>
  <c r="U87" i="1" s="1"/>
  <c r="U237" i="1" l="1"/>
  <c r="U236" i="1" s="1"/>
  <c r="U88" i="1"/>
  <c r="U101" i="1"/>
  <c r="U90" i="1"/>
  <c r="U205" i="1" s="1"/>
  <c r="T67" i="1"/>
  <c r="T161" i="1"/>
  <c r="T175" i="1" s="1"/>
  <c r="T208" i="1" s="1"/>
  <c r="U89" i="1" l="1"/>
  <c r="U263" i="1"/>
  <c r="U267" i="1" s="1"/>
  <c r="U173" i="1" s="1"/>
  <c r="U245" i="1"/>
  <c r="U270" i="1" s="1"/>
  <c r="U271" i="1" s="1"/>
  <c r="U161" i="1" l="1"/>
  <c r="U175" i="1" s="1"/>
  <c r="U67" i="1"/>
  <c r="U98" i="1"/>
  <c r="U199" i="1"/>
  <c r="U197" i="1" s="1"/>
  <c r="U207" i="1" s="1"/>
  <c r="U208" i="1" l="1"/>
</calcChain>
</file>

<file path=xl/sharedStrings.xml><?xml version="1.0" encoding="utf-8"?>
<sst xmlns="http://schemas.openxmlformats.org/spreadsheetml/2006/main" count="530" uniqueCount="250">
  <si>
    <t>Days of operation</t>
    <phoneticPr fontId="3" type="noConversion"/>
  </si>
  <si>
    <t>&gt;&gt;2018.09 ipo</t>
    <phoneticPr fontId="3" type="noConversion"/>
  </si>
  <si>
    <t>IS</t>
    <phoneticPr fontId="3" type="noConversion"/>
  </si>
  <si>
    <t>RMB Mn</t>
    <phoneticPr fontId="3" type="noConversion"/>
  </si>
  <si>
    <t>2015</t>
    <phoneticPr fontId="3" type="noConversion"/>
  </si>
  <si>
    <t>2016</t>
  </si>
  <si>
    <t>2017</t>
  </si>
  <si>
    <t>2018</t>
  </si>
  <si>
    <t>2019</t>
  </si>
  <si>
    <t>2020</t>
    <phoneticPr fontId="3" type="noConversion"/>
  </si>
  <si>
    <t>2021e</t>
    <phoneticPr fontId="3" type="noConversion"/>
  </si>
  <si>
    <t>2022e</t>
    <phoneticPr fontId="3" type="noConversion"/>
  </si>
  <si>
    <t>2023e</t>
    <phoneticPr fontId="3" type="noConversion"/>
  </si>
  <si>
    <t>2024e</t>
    <phoneticPr fontId="3" type="noConversion"/>
  </si>
  <si>
    <t>2025e</t>
    <phoneticPr fontId="3" type="noConversion"/>
  </si>
  <si>
    <t>2026e</t>
    <phoneticPr fontId="3" type="noConversion"/>
  </si>
  <si>
    <t>2027e</t>
    <phoneticPr fontId="3" type="noConversion"/>
  </si>
  <si>
    <t>2028e</t>
    <phoneticPr fontId="3" type="noConversion"/>
  </si>
  <si>
    <t>2029e</t>
    <phoneticPr fontId="3" type="noConversion"/>
  </si>
  <si>
    <t>2030e</t>
    <phoneticPr fontId="3" type="noConversion"/>
  </si>
  <si>
    <t>1H17</t>
    <phoneticPr fontId="3" type="noConversion"/>
  </si>
  <si>
    <t>2H17</t>
    <phoneticPr fontId="3" type="noConversion"/>
  </si>
  <si>
    <t>1H18</t>
    <phoneticPr fontId="3" type="noConversion"/>
  </si>
  <si>
    <t>2H18</t>
  </si>
  <si>
    <t>1H19</t>
  </si>
  <si>
    <t>2H19</t>
  </si>
  <si>
    <t>1H20</t>
  </si>
  <si>
    <t>2H20</t>
  </si>
  <si>
    <t>Revenues</t>
    <phoneticPr fontId="3" type="noConversion"/>
  </si>
  <si>
    <t>Consolidated</t>
    <phoneticPr fontId="3" type="noConversion"/>
  </si>
  <si>
    <t>yoy%</t>
    <phoneticPr fontId="3" type="noConversion"/>
  </si>
  <si>
    <t>海底捞餐厅</t>
    <phoneticPr fontId="3" type="noConversion"/>
  </si>
  <si>
    <t>其他餐厅</t>
    <phoneticPr fontId="3" type="noConversion"/>
  </si>
  <si>
    <t>外卖业务</t>
    <phoneticPr fontId="3" type="noConversion"/>
  </si>
  <si>
    <t>调味品及食材销售</t>
    <phoneticPr fontId="3" type="noConversion"/>
  </si>
  <si>
    <t>其他</t>
    <phoneticPr fontId="3" type="noConversion"/>
  </si>
  <si>
    <t>Mix%</t>
    <phoneticPr fontId="3" type="noConversion"/>
  </si>
  <si>
    <t>Raw materials and consumables used</t>
    <phoneticPr fontId="3" type="noConversion"/>
  </si>
  <si>
    <t>食材成本</t>
    <phoneticPr fontId="3" type="noConversion"/>
  </si>
  <si>
    <t>as % of total COGS</t>
    <phoneticPr fontId="3" type="noConversion"/>
  </si>
  <si>
    <t>易耗品</t>
    <phoneticPr fontId="3" type="noConversion"/>
  </si>
  <si>
    <t>餐厅员工制服</t>
    <phoneticPr fontId="3" type="noConversion"/>
  </si>
  <si>
    <t>Gross profit</t>
    <phoneticPr fontId="3" type="noConversion"/>
  </si>
  <si>
    <t>GPM</t>
    <phoneticPr fontId="3" type="noConversion"/>
  </si>
  <si>
    <t>Opex</t>
    <phoneticPr fontId="3" type="noConversion"/>
  </si>
  <si>
    <t>Staff costs</t>
    <phoneticPr fontId="3" type="noConversion"/>
  </si>
  <si>
    <t># of employees ('000)</t>
    <phoneticPr fontId="3" type="noConversion"/>
  </si>
  <si>
    <t>avg. employees per store</t>
    <phoneticPr fontId="3" type="noConversion"/>
  </si>
  <si>
    <t>avg. salary ('000 RMB)</t>
    <phoneticPr fontId="3" type="noConversion"/>
  </si>
  <si>
    <t>Rentals and related expenses</t>
    <phoneticPr fontId="3" type="noConversion"/>
  </si>
  <si>
    <t>Rental related expense per store</t>
    <phoneticPr fontId="3" type="noConversion"/>
  </si>
  <si>
    <t>Utilities expenses</t>
    <phoneticPr fontId="3" type="noConversion"/>
  </si>
  <si>
    <t>D&amp;A</t>
    <phoneticPr fontId="3" type="noConversion"/>
  </si>
  <si>
    <t>Travelling and related expenses</t>
    <phoneticPr fontId="3" type="noConversion"/>
  </si>
  <si>
    <t>Other expenses</t>
    <phoneticPr fontId="3" type="noConversion"/>
  </si>
  <si>
    <t>as % of rev</t>
    <phoneticPr fontId="3" type="noConversion"/>
  </si>
  <si>
    <t>Staff costs</t>
  </si>
  <si>
    <t>Adj. rental expenses</t>
    <phoneticPr fontId="3" type="noConversion"/>
  </si>
  <si>
    <t>Utilities expenses</t>
  </si>
  <si>
    <t>Adj. D&amp;A</t>
    <phoneticPr fontId="3" type="noConversion"/>
  </si>
  <si>
    <t>Travelling and related expenses</t>
  </si>
  <si>
    <t>Other expenses</t>
  </si>
  <si>
    <t>Adj. EBITDA</t>
    <phoneticPr fontId="3" type="noConversion"/>
  </si>
  <si>
    <t>EBITDA margin</t>
    <phoneticPr fontId="3" type="noConversion"/>
  </si>
  <si>
    <t>EBIT</t>
    <phoneticPr fontId="3" type="noConversion"/>
  </si>
  <si>
    <t>OPM</t>
    <phoneticPr fontId="3" type="noConversion"/>
  </si>
  <si>
    <t>Other income</t>
    <phoneticPr fontId="3" type="noConversion"/>
  </si>
  <si>
    <t>Interest income</t>
  </si>
  <si>
    <t>Interest yield</t>
    <phoneticPr fontId="3" type="noConversion"/>
  </si>
  <si>
    <t>Gov't grant</t>
  </si>
  <si>
    <t>Others</t>
  </si>
  <si>
    <t>Profits from JVs and associate</t>
    <phoneticPr fontId="3" type="noConversion"/>
  </si>
  <si>
    <t>Other gains and losses</t>
    <phoneticPr fontId="3" type="noConversion"/>
  </si>
  <si>
    <t>Finance costs</t>
    <phoneticPr fontId="3" type="noConversion"/>
  </si>
  <si>
    <t>Interest on lease liabilities</t>
    <phoneticPr fontId="3" type="noConversion"/>
  </si>
  <si>
    <t>Interest on borrowings</t>
    <phoneticPr fontId="3" type="noConversion"/>
  </si>
  <si>
    <t>Interest rate</t>
    <phoneticPr fontId="3" type="noConversion"/>
  </si>
  <si>
    <t>Other interest expenses</t>
    <phoneticPr fontId="3" type="noConversion"/>
  </si>
  <si>
    <t>EBT</t>
    <phoneticPr fontId="3" type="noConversion"/>
  </si>
  <si>
    <t>Income tax expenses</t>
    <phoneticPr fontId="3" type="noConversion"/>
  </si>
  <si>
    <t>Effective tax rate</t>
    <phoneticPr fontId="3" type="noConversion"/>
  </si>
  <si>
    <t>Net profit</t>
    <phoneticPr fontId="3" type="noConversion"/>
  </si>
  <si>
    <t>NPM</t>
    <phoneticPr fontId="3" type="noConversion"/>
  </si>
  <si>
    <t>Equityholders of the Company</t>
    <phoneticPr fontId="3" type="noConversion"/>
  </si>
  <si>
    <t>NCI</t>
    <phoneticPr fontId="3" type="noConversion"/>
  </si>
  <si>
    <t>NCI%</t>
    <phoneticPr fontId="3" type="noConversion"/>
  </si>
  <si>
    <t># of shares</t>
    <phoneticPr fontId="3" type="noConversion"/>
  </si>
  <si>
    <t>Basic</t>
    <phoneticPr fontId="3" type="noConversion"/>
  </si>
  <si>
    <t>Diluted</t>
    <phoneticPr fontId="3" type="noConversion"/>
  </si>
  <si>
    <t>EPS</t>
    <phoneticPr fontId="3" type="noConversion"/>
  </si>
  <si>
    <t>**To be approved by AGM on 2021.3.28</t>
    <phoneticPr fontId="3" type="noConversion"/>
  </si>
  <si>
    <t>Dividends declared</t>
    <phoneticPr fontId="3" type="noConversion"/>
  </si>
  <si>
    <t>**Final dividend only</t>
    <phoneticPr fontId="3" type="noConversion"/>
  </si>
  <si>
    <t>Dividend payout ratio</t>
    <phoneticPr fontId="3" type="noConversion"/>
  </si>
  <si>
    <t>DPS</t>
    <phoneticPr fontId="3" type="noConversion"/>
  </si>
  <si>
    <t>BS</t>
    <phoneticPr fontId="3" type="noConversion"/>
  </si>
  <si>
    <t>Non-CA</t>
    <phoneticPr fontId="3" type="noConversion"/>
  </si>
  <si>
    <t>PP&amp;E</t>
    <phoneticPr fontId="3" type="noConversion"/>
  </si>
  <si>
    <t>ROU assets</t>
    <phoneticPr fontId="3" type="noConversion"/>
  </si>
  <si>
    <t>Goodwill</t>
    <phoneticPr fontId="3" type="noConversion"/>
  </si>
  <si>
    <t>Intangibles</t>
    <phoneticPr fontId="3" type="noConversion"/>
  </si>
  <si>
    <t>Equity-method investment</t>
    <phoneticPr fontId="3" type="noConversion"/>
  </si>
  <si>
    <t>Amount due from related parties</t>
    <phoneticPr fontId="3" type="noConversion"/>
  </si>
  <si>
    <t>FA at FVTPL</t>
    <phoneticPr fontId="3" type="noConversion"/>
  </si>
  <si>
    <t>FA at FVTOCI</t>
    <phoneticPr fontId="3" type="noConversion"/>
  </si>
  <si>
    <t>Other financial assets</t>
    <phoneticPr fontId="3" type="noConversion"/>
  </si>
  <si>
    <t>Deferred tax assets</t>
    <phoneticPr fontId="3" type="noConversion"/>
  </si>
  <si>
    <t>Deposits in a financial institution</t>
    <phoneticPr fontId="3" type="noConversion"/>
  </si>
  <si>
    <t>Rental deposits</t>
    <phoneticPr fontId="3" type="noConversion"/>
  </si>
  <si>
    <t>deposits per store</t>
    <phoneticPr fontId="3" type="noConversion"/>
  </si>
  <si>
    <t>Other non-CA</t>
    <phoneticPr fontId="3" type="noConversion"/>
  </si>
  <si>
    <t>PP&amp;E schedule</t>
    <phoneticPr fontId="3" type="noConversion"/>
  </si>
  <si>
    <t>BGN</t>
    <phoneticPr fontId="3" type="noConversion"/>
  </si>
  <si>
    <t>Capex</t>
    <phoneticPr fontId="3" type="noConversion"/>
  </si>
  <si>
    <t>On newly opened store</t>
    <phoneticPr fontId="3" type="noConversion"/>
  </si>
  <si>
    <t>On existing stores</t>
    <phoneticPr fontId="3" type="noConversion"/>
  </si>
  <si>
    <t>Capex per existing store</t>
    <phoneticPr fontId="3" type="noConversion"/>
  </si>
  <si>
    <t>Dep yrs</t>
    <phoneticPr fontId="3" type="noConversion"/>
  </si>
  <si>
    <t>END(cal.)</t>
    <phoneticPr fontId="3" type="noConversion"/>
  </si>
  <si>
    <t>END(reported)</t>
    <phoneticPr fontId="3" type="noConversion"/>
  </si>
  <si>
    <t>Diff</t>
    <phoneticPr fontId="3" type="noConversion"/>
  </si>
  <si>
    <t>PP&amp;E per Haidilao store</t>
    <phoneticPr fontId="3" type="noConversion"/>
  </si>
  <si>
    <t>Intangibles schedule</t>
    <phoneticPr fontId="3" type="noConversion"/>
  </si>
  <si>
    <t>Amort yrs</t>
    <phoneticPr fontId="3" type="noConversion"/>
  </si>
  <si>
    <t>ROU assets schedule</t>
    <phoneticPr fontId="3" type="noConversion"/>
  </si>
  <si>
    <t>Additions</t>
    <phoneticPr fontId="3" type="noConversion"/>
  </si>
  <si>
    <t>per net added store</t>
    <phoneticPr fontId="3" type="noConversion"/>
  </si>
  <si>
    <t>Lease liabilities total</t>
    <phoneticPr fontId="3" type="noConversion"/>
  </si>
  <si>
    <t>as % of ROU assets balance</t>
    <phoneticPr fontId="3" type="noConversion"/>
  </si>
  <si>
    <t>CA</t>
    <phoneticPr fontId="3" type="noConversion"/>
  </si>
  <si>
    <t>Inventories</t>
    <phoneticPr fontId="3" type="noConversion"/>
  </si>
  <si>
    <t>Trade and other receivables and prepayments</t>
    <phoneticPr fontId="3" type="noConversion"/>
  </si>
  <si>
    <t>Trade receivables</t>
    <phoneticPr fontId="3" type="noConversion"/>
  </si>
  <si>
    <t>Prepayment to suppliers</t>
    <phoneticPr fontId="3" type="noConversion"/>
  </si>
  <si>
    <t>Other receivables/prepayments</t>
    <phoneticPr fontId="3" type="noConversion"/>
  </si>
  <si>
    <t>Amounts due from related parties</t>
    <phoneticPr fontId="3" type="noConversion"/>
  </si>
  <si>
    <t>Pledged bank deposits</t>
    <phoneticPr fontId="3" type="noConversion"/>
  </si>
  <si>
    <t>Bank balances and cash</t>
    <phoneticPr fontId="3" type="noConversion"/>
  </si>
  <si>
    <t>Total assets</t>
    <phoneticPr fontId="3" type="noConversion"/>
  </si>
  <si>
    <t>CL</t>
    <phoneticPr fontId="3" type="noConversion"/>
  </si>
  <si>
    <t>Trade payables</t>
    <phoneticPr fontId="3" type="noConversion"/>
  </si>
  <si>
    <t>Other payables</t>
    <phoneticPr fontId="3" type="noConversion"/>
  </si>
  <si>
    <t>Amounts due to related parties</t>
    <phoneticPr fontId="3" type="noConversion"/>
  </si>
  <si>
    <t>Dividend payable</t>
    <phoneticPr fontId="3" type="noConversion"/>
  </si>
  <si>
    <t>Tax payable</t>
    <phoneticPr fontId="3" type="noConversion"/>
  </si>
  <si>
    <t>Borrowings</t>
    <phoneticPr fontId="3" type="noConversion"/>
  </si>
  <si>
    <t>Lease liabilities</t>
    <phoneticPr fontId="3" type="noConversion"/>
  </si>
  <si>
    <t>Contract liabilities</t>
    <phoneticPr fontId="3" type="noConversion"/>
  </si>
  <si>
    <t>Non-CL</t>
    <phoneticPr fontId="3" type="noConversion"/>
  </si>
  <si>
    <t>Deferred tax liabilities</t>
    <phoneticPr fontId="3" type="noConversion"/>
  </si>
  <si>
    <t>Provisions</t>
    <phoneticPr fontId="3" type="noConversion"/>
  </si>
  <si>
    <t>Total liabilities</t>
    <phoneticPr fontId="3" type="noConversion"/>
  </si>
  <si>
    <t>Equity attributable to owners of the Company</t>
    <phoneticPr fontId="3" type="noConversion"/>
  </si>
  <si>
    <t>Share capital</t>
    <phoneticPr fontId="3" type="noConversion"/>
  </si>
  <si>
    <t>Reserves</t>
    <phoneticPr fontId="3" type="noConversion"/>
  </si>
  <si>
    <t>Share premium</t>
    <phoneticPr fontId="3" type="noConversion"/>
  </si>
  <si>
    <t>Statutory reserve</t>
    <phoneticPr fontId="3" type="noConversion"/>
  </si>
  <si>
    <t>Retained profits</t>
    <phoneticPr fontId="3" type="noConversion"/>
  </si>
  <si>
    <t>Other reserves</t>
    <phoneticPr fontId="3" type="noConversion"/>
  </si>
  <si>
    <t>Non-controlling interests</t>
    <phoneticPr fontId="3" type="noConversion"/>
  </si>
  <si>
    <t>Total equity</t>
    <phoneticPr fontId="3" type="noConversion"/>
  </si>
  <si>
    <t>check</t>
    <phoneticPr fontId="3" type="noConversion"/>
  </si>
  <si>
    <t>BVPS</t>
    <phoneticPr fontId="3" type="noConversion"/>
  </si>
  <si>
    <t>NWC</t>
    <phoneticPr fontId="3" type="noConversion"/>
  </si>
  <si>
    <t>Receivables and prepaids</t>
    <phoneticPr fontId="3" type="noConversion"/>
  </si>
  <si>
    <t>Trade payable</t>
    <phoneticPr fontId="3" type="noConversion"/>
  </si>
  <si>
    <t>Other NWC</t>
    <phoneticPr fontId="3" type="noConversion"/>
  </si>
  <si>
    <t>Receivables and prepaids Days</t>
    <phoneticPr fontId="3" type="noConversion"/>
  </si>
  <si>
    <t>TR Days</t>
    <phoneticPr fontId="3" type="noConversion"/>
  </si>
  <si>
    <t>Prepayment to suppliers Days</t>
    <phoneticPr fontId="3" type="noConversion"/>
  </si>
  <si>
    <t>Other receivables and prepaids Days</t>
    <phoneticPr fontId="3" type="noConversion"/>
  </si>
  <si>
    <t>Inventory Days</t>
    <phoneticPr fontId="3" type="noConversion"/>
  </si>
  <si>
    <t>Trade payable Days</t>
    <phoneticPr fontId="3" type="noConversion"/>
  </si>
  <si>
    <t>Other payables Days</t>
    <phoneticPr fontId="3" type="noConversion"/>
  </si>
  <si>
    <t>Contract liabilities Days</t>
    <phoneticPr fontId="3" type="noConversion"/>
  </si>
  <si>
    <t>NWC Days</t>
    <phoneticPr fontId="3" type="noConversion"/>
  </si>
  <si>
    <t>CFS</t>
    <phoneticPr fontId="3" type="noConversion"/>
  </si>
  <si>
    <t>2020e</t>
    <phoneticPr fontId="3" type="noConversion"/>
  </si>
  <si>
    <t>Net cash from/(used in) operating activities</t>
    <phoneticPr fontId="3" type="noConversion"/>
  </si>
  <si>
    <t>+Dep of PP&amp;E</t>
    <phoneticPr fontId="3" type="noConversion"/>
  </si>
  <si>
    <t>+Amort of intangibles</t>
    <phoneticPr fontId="3" type="noConversion"/>
  </si>
  <si>
    <t>+Dep of ROU assets</t>
    <phoneticPr fontId="3" type="noConversion"/>
  </si>
  <si>
    <t>-Chg in NWC</t>
    <phoneticPr fontId="3" type="noConversion"/>
  </si>
  <si>
    <t>-Non-op gains/+losses</t>
    <phoneticPr fontId="3" type="noConversion"/>
  </si>
  <si>
    <t>Others</t>
    <phoneticPr fontId="3" type="noConversion"/>
  </si>
  <si>
    <t>Adj. OCF</t>
    <phoneticPr fontId="3" type="noConversion"/>
  </si>
  <si>
    <t>Net cash from/(used in) investing activities</t>
    <phoneticPr fontId="3" type="noConversion"/>
  </si>
  <si>
    <t>Capex on PP&amp;E</t>
    <phoneticPr fontId="3" type="noConversion"/>
  </si>
  <si>
    <t>Capex on intangibles</t>
    <phoneticPr fontId="3" type="noConversion"/>
  </si>
  <si>
    <t>Business acquisition, net of cash</t>
    <phoneticPr fontId="3" type="noConversion"/>
  </si>
  <si>
    <t>Chg in pledged bank deposits/Fis deposits</t>
    <phoneticPr fontId="3" type="noConversion"/>
  </si>
  <si>
    <t>Net cash from/(used in) financing activities</t>
    <phoneticPr fontId="3" type="noConversion"/>
  </si>
  <si>
    <t>New debt</t>
    <phoneticPr fontId="3" type="noConversion"/>
  </si>
  <si>
    <t>Loans from related parties</t>
    <phoneticPr fontId="3" type="noConversion"/>
  </si>
  <si>
    <t>Repayments of lease liabilities</t>
    <phoneticPr fontId="3" type="noConversion"/>
  </si>
  <si>
    <t>Dividends paid</t>
    <phoneticPr fontId="3" type="noConversion"/>
  </si>
  <si>
    <t>Equity contribution by common shareholders</t>
    <phoneticPr fontId="3" type="noConversion"/>
  </si>
  <si>
    <t>Net chg in cash</t>
    <phoneticPr fontId="3" type="noConversion"/>
  </si>
  <si>
    <t>FX impact</t>
    <phoneticPr fontId="3" type="noConversion"/>
  </si>
  <si>
    <t>Net cash used in Sichuan Haidilao Branches</t>
    <phoneticPr fontId="3" type="noConversion"/>
  </si>
  <si>
    <t>END</t>
    <phoneticPr fontId="3" type="noConversion"/>
  </si>
  <si>
    <t>Adj. FCFF</t>
    <phoneticPr fontId="3" type="noConversion"/>
  </si>
  <si>
    <t>FCFF margin</t>
    <phoneticPr fontId="3" type="noConversion"/>
  </si>
  <si>
    <t>FCFF yield</t>
    <phoneticPr fontId="3" type="noConversion"/>
  </si>
  <si>
    <t>DCF</t>
    <phoneticPr fontId="3" type="noConversion"/>
  </si>
  <si>
    <t>Haidilao op metrics</t>
    <phoneticPr fontId="3" type="noConversion"/>
  </si>
  <si>
    <r>
      <rPr>
        <sz val="12"/>
        <color theme="1"/>
        <rFont val="Arial"/>
        <family val="3"/>
      </rPr>
      <t>常住人口</t>
    </r>
    <r>
      <rPr>
        <sz val="12"/>
        <color theme="1"/>
        <rFont val="Arial"/>
        <family val="2"/>
      </rPr>
      <t>(Mn)</t>
    </r>
    <phoneticPr fontId="3" type="noConversion"/>
  </si>
  <si>
    <t>**海底捞口径</t>
    <phoneticPr fontId="3" type="noConversion"/>
  </si>
  <si>
    <t>Tier 1</t>
    <phoneticPr fontId="3" type="noConversion"/>
  </si>
  <si>
    <t>Tier 2</t>
    <phoneticPr fontId="3" type="noConversion"/>
  </si>
  <si>
    <t>Blended metrics</t>
    <phoneticPr fontId="3" type="noConversion"/>
  </si>
  <si>
    <t># of restaurants</t>
    <phoneticPr fontId="3" type="noConversion"/>
  </si>
  <si>
    <t>Tier 3 and below</t>
    <phoneticPr fontId="3" type="noConversion"/>
  </si>
  <si>
    <t>Overseas</t>
    <phoneticPr fontId="3" type="noConversion"/>
  </si>
  <si>
    <t>Opened</t>
    <phoneticPr fontId="3" type="noConversion"/>
  </si>
  <si>
    <t>growth rate</t>
    <phoneticPr fontId="3" type="noConversion"/>
  </si>
  <si>
    <t>Closed</t>
    <phoneticPr fontId="3" type="noConversion"/>
  </si>
  <si>
    <t>Net adds</t>
    <phoneticPr fontId="3" type="noConversion"/>
  </si>
  <si>
    <t>Avg. rev per guest (RMB)</t>
    <phoneticPr fontId="3" type="noConversion"/>
  </si>
  <si>
    <t>Total # of guests served (Mn)</t>
    <phoneticPr fontId="3" type="noConversion"/>
  </si>
  <si>
    <t>penetration rate</t>
    <phoneticPr fontId="3" type="noConversion"/>
  </si>
  <si>
    <t>Avg. guests per day per restaurant</t>
    <phoneticPr fontId="3" type="noConversion"/>
  </si>
  <si>
    <t>Total restaurant days</t>
    <phoneticPr fontId="3" type="noConversion"/>
  </si>
  <si>
    <t xml:space="preserve">avg. days of operation (Instrumental) </t>
    <phoneticPr fontId="3" type="noConversion"/>
  </si>
  <si>
    <t>Avg. daily restaurant sales ('000 RMB)</t>
    <phoneticPr fontId="3" type="noConversion"/>
  </si>
  <si>
    <t>Table turnover rate (times/day)</t>
    <phoneticPr fontId="3" type="noConversion"/>
  </si>
  <si>
    <t>Avg. guests per time per day per restaurant</t>
    <phoneticPr fontId="3" type="noConversion"/>
  </si>
  <si>
    <t>Gross restaurant rev</t>
    <phoneticPr fontId="3" type="noConversion"/>
  </si>
  <si>
    <t>Less: Customer loyalty program</t>
    <phoneticPr fontId="3" type="noConversion"/>
  </si>
  <si>
    <t>as % of gross rev</t>
    <phoneticPr fontId="3" type="noConversion"/>
  </si>
  <si>
    <t>Net restaurant rev</t>
    <phoneticPr fontId="3" type="noConversion"/>
  </si>
  <si>
    <t>Restaurant level operating profit</t>
    <phoneticPr fontId="3" type="noConversion"/>
  </si>
  <si>
    <t>Restaurant level OPM</t>
    <phoneticPr fontId="3" type="noConversion"/>
  </si>
  <si>
    <t>Same store metrics</t>
    <phoneticPr fontId="3" type="noConversion"/>
  </si>
  <si>
    <r>
      <t>**年内</t>
    </r>
    <r>
      <rPr>
        <i/>
        <sz val="8"/>
        <color theme="1"/>
        <rFont val="SimSun"/>
        <family val="3"/>
        <charset val="134"/>
      </rPr>
      <t>运营超过</t>
    </r>
    <r>
      <rPr>
        <i/>
        <sz val="8"/>
        <color theme="1"/>
        <rFont val="Arial"/>
        <family val="2"/>
      </rPr>
      <t>300</t>
    </r>
    <r>
      <rPr>
        <i/>
        <sz val="8"/>
        <color theme="1"/>
        <rFont val="SimSun"/>
        <family val="3"/>
        <charset val="134"/>
      </rPr>
      <t>天的餐厅/半年内运营超过120天的餐厅</t>
    </r>
    <phoneticPr fontId="3" type="noConversion"/>
  </si>
  <si>
    <t># of same stores under comparison</t>
    <phoneticPr fontId="3" type="noConversion"/>
  </si>
  <si>
    <t>as % of period end stores</t>
    <phoneticPr fontId="3" type="noConversion"/>
  </si>
  <si>
    <t>Current period</t>
    <phoneticPr fontId="3" type="noConversion"/>
  </si>
  <si>
    <t>Same store total sales</t>
    <phoneticPr fontId="3" type="noConversion"/>
  </si>
  <si>
    <t>SSS per day per restaurant('000 RMB)</t>
    <phoneticPr fontId="3" type="noConversion"/>
  </si>
  <si>
    <t>SS restaurant days</t>
    <phoneticPr fontId="3" type="noConversion"/>
  </si>
  <si>
    <t>SS table turnover rate (times/day)</t>
    <phoneticPr fontId="3" type="noConversion"/>
  </si>
  <si>
    <t>Last period</t>
    <phoneticPr fontId="3" type="noConversion"/>
  </si>
  <si>
    <t>SSS per day per restaurant ('000 RMB)</t>
    <phoneticPr fontId="3" type="noConversion"/>
  </si>
  <si>
    <t>YoY growth</t>
    <phoneticPr fontId="3" type="noConversion"/>
  </si>
  <si>
    <t>SSSG</t>
    <phoneticPr fontId="3" type="noConversion"/>
  </si>
  <si>
    <t>SS table turnover growth</t>
    <phoneticPr fontId="3" type="noConversion"/>
  </si>
  <si>
    <t>本文件仅用于案例示范，不构成投资建议，所有参数假设不必当真。</t>
    <phoneticPr fontId="3" type="noConversion"/>
  </si>
  <si>
    <t>如有言中，纯属侥幸。</t>
    <phoneticPr fontId="3" type="noConversion"/>
  </si>
  <si>
    <t>本期话题：现金及现金等价物（Cash and cash equivalents）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</si>
</sst>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_(* #,##0_);_(* \(#,##0\);_(* &quot;-&quot;??_);_(@_)"/>
    <numFmt numFmtId="177" formatCode="0.0%"/>
    <numFmt numFmtId="178" formatCode="_(* #,##0.0_);_(* \(#,##0.0\);_(* &quot;-&quot;??_);_(@_)"/>
  </numFmts>
  <fonts count="40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Arial"/>
      <family val="2"/>
    </font>
    <font>
      <sz val="9"/>
      <name val="等线"/>
      <family val="2"/>
      <charset val="134"/>
      <scheme val="minor"/>
    </font>
    <font>
      <sz val="12"/>
      <color rgb="FF0432FF"/>
      <name val="Arial"/>
      <family val="2"/>
    </font>
    <font>
      <sz val="12"/>
      <color rgb="FFC000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432FF"/>
      <name val="Arial"/>
      <family val="2"/>
    </font>
    <font>
      <i/>
      <sz val="12"/>
      <color theme="8"/>
      <name val="Arial"/>
      <family val="2"/>
    </font>
    <font>
      <i/>
      <sz val="12"/>
      <color rgb="FFC00000"/>
      <name val="Arial"/>
      <family val="2"/>
    </font>
    <font>
      <sz val="12"/>
      <color theme="8"/>
      <name val="Arial"/>
      <family val="2"/>
    </font>
    <font>
      <u val="singleAccounting"/>
      <sz val="12"/>
      <color theme="8"/>
      <name val="Arial"/>
      <family val="2"/>
    </font>
    <font>
      <sz val="12"/>
      <color theme="1" tint="0.499984740745262"/>
      <name val="Arial"/>
      <family val="2"/>
    </font>
    <font>
      <sz val="12"/>
      <color theme="5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i/>
      <sz val="12"/>
      <color rgb="FFFF0000"/>
      <name val="Arial"/>
      <family val="2"/>
    </font>
    <font>
      <i/>
      <sz val="12"/>
      <color theme="1"/>
      <name val="Arial"/>
      <family val="2"/>
    </font>
    <font>
      <i/>
      <sz val="12"/>
      <color rgb="FF0432FF"/>
      <name val="Arial"/>
      <family val="2"/>
    </font>
    <font>
      <b/>
      <i/>
      <sz val="12"/>
      <color theme="8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3"/>
    </font>
    <font>
      <i/>
      <u val="singleAccounting"/>
      <sz val="12"/>
      <color theme="8"/>
      <name val="Arial"/>
      <family val="2"/>
    </font>
    <font>
      <i/>
      <sz val="12"/>
      <color theme="1" tint="0.499984740745262"/>
      <name val="Arial"/>
      <family val="2"/>
    </font>
    <font>
      <i/>
      <u val="singleAccounting"/>
      <sz val="12"/>
      <color theme="1" tint="0.499984740745262"/>
      <name val="Arial"/>
      <family val="2"/>
    </font>
    <font>
      <u val="singleAccounting"/>
      <sz val="12"/>
      <color theme="1"/>
      <name val="Arial"/>
      <family val="2"/>
    </font>
    <font>
      <b/>
      <sz val="12"/>
      <color rgb="FFC00000"/>
      <name val="Arial"/>
      <family val="2"/>
    </font>
    <font>
      <i/>
      <u/>
      <sz val="12"/>
      <color theme="8"/>
      <name val="Arial"/>
      <family val="2"/>
    </font>
    <font>
      <b/>
      <sz val="12"/>
      <color theme="8"/>
      <name val="Arial"/>
      <family val="2"/>
    </font>
    <font>
      <b/>
      <u val="singleAccounting"/>
      <sz val="12"/>
      <color theme="8"/>
      <name val="Arial"/>
      <family val="2"/>
    </font>
    <font>
      <i/>
      <sz val="8"/>
      <color theme="1"/>
      <name val="Arial"/>
      <family val="2"/>
    </font>
    <font>
      <i/>
      <sz val="8"/>
      <color theme="1"/>
      <name val="SimSun"/>
      <family val="3"/>
      <charset val="134"/>
    </font>
    <font>
      <b/>
      <u val="singleAccounting"/>
      <sz val="12"/>
      <color theme="1"/>
      <name val="Arial"/>
      <family val="2"/>
    </font>
    <font>
      <i/>
      <sz val="8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6"/>
      <color rgb="FFC00000"/>
      <name val="SimSun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176" fontId="2" fillId="2" borderId="0" xfId="1" applyNumberFormat="1" applyFont="1" applyFill="1">
      <alignment vertical="center"/>
    </xf>
    <xf numFmtId="176" fontId="4" fillId="2" borderId="0" xfId="1" applyNumberFormat="1" applyFont="1" applyFill="1">
      <alignment vertical="center"/>
    </xf>
    <xf numFmtId="176" fontId="5" fillId="2" borderId="0" xfId="1" applyNumberFormat="1" applyFont="1" applyFill="1">
      <alignment vertical="center"/>
    </xf>
    <xf numFmtId="49" fontId="6" fillId="3" borderId="0" xfId="1" applyNumberFormat="1" applyFont="1" applyFill="1">
      <alignment vertical="center"/>
    </xf>
    <xf numFmtId="49" fontId="6" fillId="3" borderId="0" xfId="1" applyNumberFormat="1" applyFont="1" applyFill="1" applyAlignment="1">
      <alignment horizontal="center" vertical="center"/>
    </xf>
    <xf numFmtId="176" fontId="7" fillId="2" borderId="0" xfId="1" applyNumberFormat="1" applyFont="1" applyFill="1">
      <alignment vertical="center"/>
    </xf>
    <xf numFmtId="176" fontId="8" fillId="2" borderId="0" xfId="1" applyNumberFormat="1" applyFont="1" applyFill="1">
      <alignment vertical="center"/>
    </xf>
    <xf numFmtId="177" fontId="9" fillId="2" borderId="0" xfId="2" applyNumberFormat="1" applyFont="1" applyFill="1">
      <alignment vertical="center"/>
    </xf>
    <xf numFmtId="177" fontId="10" fillId="2" borderId="0" xfId="2" applyNumberFormat="1" applyFont="1" applyFill="1">
      <alignment vertical="center"/>
    </xf>
    <xf numFmtId="176" fontId="11" fillId="2" borderId="0" xfId="1" applyNumberFormat="1" applyFont="1" applyFill="1">
      <alignment vertical="center"/>
    </xf>
    <xf numFmtId="176" fontId="12" fillId="2" borderId="0" xfId="1" applyNumberFormat="1" applyFont="1" applyFill="1">
      <alignment vertical="center"/>
    </xf>
    <xf numFmtId="177" fontId="11" fillId="2" borderId="0" xfId="2" applyNumberFormat="1" applyFont="1" applyFill="1">
      <alignment vertical="center"/>
    </xf>
    <xf numFmtId="9" fontId="9" fillId="2" borderId="0" xfId="2" applyFont="1" applyFill="1">
      <alignment vertical="center"/>
    </xf>
    <xf numFmtId="176" fontId="13" fillId="2" borderId="0" xfId="1" applyNumberFormat="1" applyFont="1" applyFill="1">
      <alignment vertical="center"/>
    </xf>
    <xf numFmtId="43" fontId="11" fillId="2" borderId="0" xfId="1" applyFont="1" applyFill="1">
      <alignment vertical="center"/>
    </xf>
    <xf numFmtId="43" fontId="5" fillId="2" borderId="0" xfId="1" applyFont="1" applyFill="1">
      <alignment vertical="center"/>
    </xf>
    <xf numFmtId="177" fontId="5" fillId="2" borderId="0" xfId="2" applyNumberFormat="1" applyFont="1" applyFill="1">
      <alignment vertical="center"/>
    </xf>
    <xf numFmtId="176" fontId="14" fillId="2" borderId="0" xfId="1" quotePrefix="1" applyNumberFormat="1" applyFont="1" applyFill="1">
      <alignment vertical="center"/>
    </xf>
    <xf numFmtId="176" fontId="14" fillId="2" borderId="0" xfId="1" applyNumberFormat="1" applyFont="1" applyFill="1">
      <alignment vertical="center"/>
    </xf>
    <xf numFmtId="43" fontId="2" fillId="2" borderId="0" xfId="1" applyFont="1" applyFill="1">
      <alignment vertical="center"/>
    </xf>
    <xf numFmtId="176" fontId="15" fillId="2" borderId="0" xfId="1" applyNumberFormat="1" applyFont="1" applyFill="1">
      <alignment vertical="center"/>
    </xf>
    <xf numFmtId="176" fontId="16" fillId="2" borderId="0" xfId="1" applyNumberFormat="1" applyFont="1" applyFill="1">
      <alignment vertical="center"/>
    </xf>
    <xf numFmtId="176" fontId="2" fillId="4" borderId="0" xfId="1" applyNumberFormat="1" applyFont="1" applyFill="1">
      <alignment vertical="center"/>
    </xf>
    <xf numFmtId="176" fontId="17" fillId="2" borderId="0" xfId="1" applyNumberFormat="1" applyFont="1" applyFill="1">
      <alignment vertical="center"/>
    </xf>
    <xf numFmtId="176" fontId="18" fillId="2" borderId="0" xfId="1" applyNumberFormat="1" applyFont="1" applyFill="1">
      <alignment vertical="center"/>
    </xf>
    <xf numFmtId="176" fontId="9" fillId="2" borderId="0" xfId="1" applyNumberFormat="1" applyFont="1" applyFill="1">
      <alignment vertical="center"/>
    </xf>
    <xf numFmtId="178" fontId="9" fillId="2" borderId="0" xfId="1" applyNumberFormat="1" applyFont="1" applyFill="1">
      <alignment vertical="center"/>
    </xf>
    <xf numFmtId="178" fontId="10" fillId="2" borderId="0" xfId="1" applyNumberFormat="1" applyFont="1" applyFill="1">
      <alignment vertical="center"/>
    </xf>
    <xf numFmtId="176" fontId="19" fillId="2" borderId="0" xfId="1" applyNumberFormat="1" applyFont="1" applyFill="1">
      <alignment vertical="center"/>
    </xf>
    <xf numFmtId="176" fontId="20" fillId="2" borderId="0" xfId="1" applyNumberFormat="1" applyFont="1" applyFill="1">
      <alignment vertical="center"/>
    </xf>
    <xf numFmtId="176" fontId="21" fillId="2" borderId="0" xfId="1" applyNumberFormat="1" applyFont="1" applyFill="1">
      <alignment vertical="center"/>
    </xf>
    <xf numFmtId="176" fontId="10" fillId="2" borderId="0" xfId="1" applyNumberFormat="1" applyFont="1" applyFill="1">
      <alignment vertical="center"/>
    </xf>
    <xf numFmtId="176" fontId="22" fillId="2" borderId="0" xfId="1" applyNumberFormat="1" applyFont="1" applyFill="1">
      <alignment vertical="center"/>
    </xf>
    <xf numFmtId="176" fontId="2" fillId="2" borderId="0" xfId="1" quotePrefix="1" applyNumberFormat="1" applyFont="1" applyFill="1">
      <alignment vertical="center"/>
    </xf>
    <xf numFmtId="176" fontId="23" fillId="2" borderId="0" xfId="1" applyNumberFormat="1" applyFont="1" applyFill="1">
      <alignment vertical="center"/>
    </xf>
    <xf numFmtId="176" fontId="24" fillId="2" borderId="0" xfId="1" applyNumberFormat="1" applyFont="1" applyFill="1">
      <alignment vertical="center"/>
    </xf>
    <xf numFmtId="176" fontId="17" fillId="5" borderId="0" xfId="1" applyNumberFormat="1" applyFont="1" applyFill="1">
      <alignment vertical="center"/>
    </xf>
    <xf numFmtId="176" fontId="25" fillId="2" borderId="0" xfId="1" applyNumberFormat="1" applyFont="1" applyFill="1">
      <alignment vertical="center"/>
    </xf>
    <xf numFmtId="176" fontId="26" fillId="2" borderId="0" xfId="1" applyNumberFormat="1" applyFont="1" applyFill="1">
      <alignment vertical="center"/>
    </xf>
    <xf numFmtId="176" fontId="27" fillId="2" borderId="0" xfId="1" applyNumberFormat="1" applyFont="1" applyFill="1">
      <alignment vertical="center"/>
    </xf>
    <xf numFmtId="9" fontId="26" fillId="2" borderId="0" xfId="2" applyFont="1" applyFill="1">
      <alignment vertical="center"/>
    </xf>
    <xf numFmtId="9" fontId="10" fillId="2" borderId="0" xfId="2" applyFont="1" applyFill="1">
      <alignment vertical="center"/>
    </xf>
    <xf numFmtId="176" fontId="28" fillId="2" borderId="0" xfId="1" applyNumberFormat="1" applyFont="1" applyFill="1">
      <alignment vertical="center"/>
    </xf>
    <xf numFmtId="9" fontId="2" fillId="2" borderId="0" xfId="2" applyFont="1" applyFill="1">
      <alignment vertical="center"/>
    </xf>
    <xf numFmtId="178" fontId="8" fillId="2" borderId="0" xfId="1" applyNumberFormat="1" applyFont="1" applyFill="1">
      <alignment vertical="center"/>
    </xf>
    <xf numFmtId="178" fontId="29" fillId="2" borderId="0" xfId="1" applyNumberFormat="1" applyFont="1" applyFill="1">
      <alignment vertical="center"/>
    </xf>
    <xf numFmtId="178" fontId="2" fillId="2" borderId="0" xfId="1" applyNumberFormat="1" applyFont="1" applyFill="1">
      <alignment vertical="center"/>
    </xf>
    <xf numFmtId="178" fontId="4" fillId="2" borderId="0" xfId="1" applyNumberFormat="1" applyFont="1" applyFill="1">
      <alignment vertical="center"/>
    </xf>
    <xf numFmtId="178" fontId="5" fillId="2" borderId="0" xfId="1" applyNumberFormat="1" applyFont="1" applyFill="1">
      <alignment vertical="center"/>
    </xf>
    <xf numFmtId="177" fontId="30" fillId="2" borderId="0" xfId="2" applyNumberFormat="1" applyFont="1" applyFill="1">
      <alignment vertical="center"/>
    </xf>
    <xf numFmtId="176" fontId="19" fillId="6" borderId="0" xfId="1" applyNumberFormat="1" applyFont="1" applyFill="1">
      <alignment vertical="center"/>
    </xf>
    <xf numFmtId="176" fontId="31" fillId="2" borderId="0" xfId="1" applyNumberFormat="1" applyFont="1" applyFill="1">
      <alignment vertical="center"/>
    </xf>
    <xf numFmtId="176" fontId="32" fillId="2" borderId="0" xfId="1" applyNumberFormat="1" applyFont="1" applyFill="1">
      <alignment vertical="center"/>
    </xf>
    <xf numFmtId="177" fontId="31" fillId="2" borderId="0" xfId="2" applyNumberFormat="1" applyFont="1" applyFill="1">
      <alignment vertical="center"/>
    </xf>
    <xf numFmtId="177" fontId="8" fillId="2" borderId="0" xfId="2" applyNumberFormat="1" applyFont="1" applyFill="1">
      <alignment vertical="center"/>
    </xf>
    <xf numFmtId="176" fontId="33" fillId="5" borderId="0" xfId="1" applyNumberFormat="1" applyFont="1" applyFill="1">
      <alignment vertical="center"/>
    </xf>
    <xf numFmtId="176" fontId="35" fillId="2" borderId="0" xfId="1" applyNumberFormat="1" applyFont="1" applyFill="1">
      <alignment vertical="center"/>
    </xf>
    <xf numFmtId="176" fontId="36" fillId="2" borderId="0" xfId="1" applyNumberFormat="1" applyFont="1" applyFill="1">
      <alignment vertical="center"/>
    </xf>
    <xf numFmtId="177" fontId="18" fillId="2" borderId="0" xfId="2" applyNumberFormat="1" applyFont="1" applyFill="1">
      <alignment vertical="center"/>
    </xf>
    <xf numFmtId="177" fontId="18" fillId="7" borderId="0" xfId="2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7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38" fillId="2" borderId="0" xfId="0" applyFont="1" applyFill="1">
      <alignment vertical="center"/>
    </xf>
    <xf numFmtId="0" fontId="39" fillId="2" borderId="0" xfId="0" applyFont="1" applyFill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A38C1-E01F-9541-A67B-F9B49AF5187A}">
  <sheetPr>
    <tabColor rgb="FFFF0000"/>
  </sheetPr>
  <dimension ref="C10:N18"/>
  <sheetViews>
    <sheetView tabSelected="1" workbookViewId="0">
      <selection activeCell="C4" sqref="C4"/>
    </sheetView>
  </sheetViews>
  <sheetFormatPr baseColWidth="10" defaultRowHeight="16"/>
  <cols>
    <col min="1" max="16384" width="10.83203125" style="61"/>
  </cols>
  <sheetData>
    <row r="10" spans="3:14" ht="17" thickBot="1"/>
    <row r="11" spans="3:14"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3:14" ht="28">
      <c r="C12" s="65"/>
      <c r="D12" s="66" t="s">
        <v>247</v>
      </c>
      <c r="N12" s="67"/>
    </row>
    <row r="13" spans="3:14">
      <c r="C13" s="65"/>
      <c r="N13" s="67"/>
    </row>
    <row r="14" spans="3:14" ht="20">
      <c r="C14" s="65"/>
      <c r="D14" s="68" t="s">
        <v>248</v>
      </c>
      <c r="N14" s="67"/>
    </row>
    <row r="15" spans="3:14" ht="20">
      <c r="C15" s="65"/>
      <c r="D15" s="68"/>
      <c r="N15" s="67"/>
    </row>
    <row r="16" spans="3:14" ht="19">
      <c r="C16" s="65"/>
      <c r="D16" s="69" t="s">
        <v>249</v>
      </c>
      <c r="N16" s="67"/>
    </row>
    <row r="17" spans="3:14">
      <c r="C17" s="65"/>
      <c r="N17" s="67"/>
    </row>
    <row r="18" spans="3:14" ht="17" thickBot="1">
      <c r="C18" s="70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2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F7CF-110B-FB48-9C89-A8B1DCD2FD24}">
  <dimension ref="B2:AE503"/>
  <sheetViews>
    <sheetView zoomScale="125" workbookViewId="0">
      <pane xSplit="5" ySplit="4" topLeftCell="G240" activePane="bottomRight" state="frozen"/>
      <selection pane="topRight" activeCell="F1" sqref="F1"/>
      <selection pane="bottomLeft" activeCell="A5" sqref="A5"/>
      <selection pane="bottomRight" activeCell="K244" sqref="K244"/>
    </sheetView>
  </sheetViews>
  <sheetFormatPr baseColWidth="10" defaultRowHeight="16" outlineLevelRow="1"/>
  <cols>
    <col min="1" max="1" width="5.83203125" style="1" customWidth="1"/>
    <col min="2" max="2" width="19.1640625" style="1" customWidth="1"/>
    <col min="3" max="10" width="10.83203125" style="1"/>
    <col min="11" max="11" width="11" style="1" bestFit="1" customWidth="1"/>
    <col min="12" max="12" width="11.1640625" style="1" customWidth="1"/>
    <col min="13" max="15" width="11" style="1" bestFit="1" customWidth="1"/>
    <col min="16" max="21" width="12.5" style="1" bestFit="1" customWidth="1"/>
    <col min="22" max="16384" width="10.83203125" style="1"/>
  </cols>
  <sheetData>
    <row r="2" spans="2:31">
      <c r="B2" s="1" t="s">
        <v>0</v>
      </c>
      <c r="F2" s="2">
        <v>365</v>
      </c>
      <c r="G2" s="2">
        <v>366</v>
      </c>
      <c r="H2" s="2">
        <v>365</v>
      </c>
      <c r="I2" s="2">
        <v>365</v>
      </c>
      <c r="J2" s="2">
        <v>365</v>
      </c>
      <c r="K2" s="2">
        <v>366</v>
      </c>
      <c r="L2" s="2">
        <v>365</v>
      </c>
      <c r="M2" s="2">
        <v>365</v>
      </c>
      <c r="N2" s="2">
        <v>365</v>
      </c>
      <c r="O2" s="2">
        <v>366</v>
      </c>
      <c r="P2" s="2">
        <v>365</v>
      </c>
      <c r="Q2" s="2">
        <v>365</v>
      </c>
      <c r="R2" s="2">
        <v>365</v>
      </c>
      <c r="S2" s="2">
        <v>366</v>
      </c>
      <c r="T2" s="2">
        <v>365</v>
      </c>
      <c r="U2" s="2">
        <v>365</v>
      </c>
      <c r="X2" s="2">
        <v>181</v>
      </c>
      <c r="Y2" s="2">
        <v>184</v>
      </c>
      <c r="Z2" s="2">
        <v>181</v>
      </c>
      <c r="AA2" s="2">
        <v>184</v>
      </c>
      <c r="AB2" s="2">
        <v>181</v>
      </c>
      <c r="AC2" s="2">
        <v>184</v>
      </c>
      <c r="AD2" s="2">
        <v>182</v>
      </c>
      <c r="AE2" s="2">
        <v>184</v>
      </c>
    </row>
    <row r="3" spans="2:31" s="3" customFormat="1">
      <c r="I3" s="3" t="s">
        <v>1</v>
      </c>
    </row>
    <row r="4" spans="2:31" s="4" customFormat="1">
      <c r="B4" s="4" t="s">
        <v>2</v>
      </c>
      <c r="C4" s="4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5" t="s">
        <v>15</v>
      </c>
      <c r="R4" s="5" t="s">
        <v>16</v>
      </c>
      <c r="S4" s="5" t="s">
        <v>17</v>
      </c>
      <c r="T4" s="5" t="s">
        <v>18</v>
      </c>
      <c r="U4" s="5" t="s">
        <v>19</v>
      </c>
      <c r="X4" s="5" t="s">
        <v>20</v>
      </c>
      <c r="Y4" s="5" t="s">
        <v>21</v>
      </c>
      <c r="Z4" s="5" t="s">
        <v>22</v>
      </c>
      <c r="AA4" s="5" t="s">
        <v>23</v>
      </c>
      <c r="AB4" s="5" t="s">
        <v>24</v>
      </c>
      <c r="AC4" s="5" t="s">
        <v>25</v>
      </c>
      <c r="AD4" s="5" t="s">
        <v>26</v>
      </c>
      <c r="AE4" s="5" t="s">
        <v>27</v>
      </c>
    </row>
    <row r="5" spans="2:31" s="6" customFormat="1">
      <c r="B5" s="6" t="s">
        <v>28</v>
      </c>
      <c r="C5" s="6" t="s">
        <v>29</v>
      </c>
      <c r="F5" s="7">
        <v>5756.6819999999998</v>
      </c>
      <c r="G5" s="7">
        <v>7807.6859999999997</v>
      </c>
      <c r="H5" s="7">
        <v>10637.17</v>
      </c>
      <c r="I5" s="7">
        <v>16969.099999999999</v>
      </c>
      <c r="J5" s="7">
        <v>26555.792000000001</v>
      </c>
      <c r="K5" s="7">
        <v>28614.255000000001</v>
      </c>
      <c r="L5" s="6">
        <f t="shared" ref="L5:U5" si="0">L8+L10+L12+L14</f>
        <v>64146.368762016529</v>
      </c>
      <c r="M5" s="6">
        <f t="shared" si="0"/>
        <v>85506.786227298551</v>
      </c>
      <c r="N5" s="6">
        <f t="shared" si="0"/>
        <v>101489.07697459702</v>
      </c>
      <c r="O5" s="6">
        <f t="shared" si="0"/>
        <v>117192.76163925914</v>
      </c>
      <c r="P5" s="6">
        <f t="shared" si="0"/>
        <v>134787.59017716878</v>
      </c>
      <c r="Q5" s="6">
        <f t="shared" si="0"/>
        <v>155236.89880232135</v>
      </c>
      <c r="R5" s="6">
        <f t="shared" si="0"/>
        <v>174715.23808175063</v>
      </c>
      <c r="S5" s="6">
        <f t="shared" si="0"/>
        <v>193549.23929047849</v>
      </c>
      <c r="T5" s="6">
        <f t="shared" si="0"/>
        <v>212699.43543809649</v>
      </c>
      <c r="U5" s="6">
        <f t="shared" si="0"/>
        <v>233819.8875092144</v>
      </c>
      <c r="X5" s="7">
        <v>4756.0649999999996</v>
      </c>
      <c r="Y5" s="6">
        <f>H5-X5</f>
        <v>5881.1050000000005</v>
      </c>
      <c r="Z5" s="7">
        <v>7342.6440000000002</v>
      </c>
      <c r="AA5" s="6">
        <f>I5-Z5</f>
        <v>9626.4559999999983</v>
      </c>
      <c r="AB5" s="7">
        <v>11694.626</v>
      </c>
      <c r="AC5" s="6">
        <f>J5-AB5</f>
        <v>14861.166000000001</v>
      </c>
      <c r="AD5" s="7">
        <v>9760.6049999999996</v>
      </c>
      <c r="AE5" s="6">
        <f>K5-AD5</f>
        <v>18853.650000000001</v>
      </c>
    </row>
    <row r="6" spans="2:31" s="8" customFormat="1">
      <c r="C6" s="8" t="s">
        <v>30</v>
      </c>
      <c r="G6" s="8">
        <f t="shared" ref="G6:I6" si="1">G5/F5-1</f>
        <v>0.35628231679290256</v>
      </c>
      <c r="H6" s="8">
        <f t="shared" si="1"/>
        <v>0.36239725829138125</v>
      </c>
      <c r="I6" s="8">
        <f t="shared" si="1"/>
        <v>0.59526452994546464</v>
      </c>
      <c r="J6" s="8">
        <f>J5/I5-1</f>
        <v>0.56494993841747676</v>
      </c>
      <c r="K6" s="8">
        <f>K5/J5-1</f>
        <v>7.7514652923927008E-2</v>
      </c>
      <c r="L6" s="8">
        <f t="shared" ref="L6:U6" si="2">L5/K5-1</f>
        <v>1.2417626725566167</v>
      </c>
      <c r="M6" s="8">
        <f t="shared" si="2"/>
        <v>0.332994959457944</v>
      </c>
      <c r="N6" s="8">
        <f t="shared" si="2"/>
        <v>0.186912541711175</v>
      </c>
      <c r="O6" s="8">
        <f t="shared" si="2"/>
        <v>0.15473275679305676</v>
      </c>
      <c r="P6" s="8">
        <f t="shared" si="2"/>
        <v>0.15013579586143511</v>
      </c>
      <c r="Q6" s="8">
        <f t="shared" si="2"/>
        <v>0.1517150696015368</v>
      </c>
      <c r="R6" s="8">
        <f t="shared" si="2"/>
        <v>0.12547493173148871</v>
      </c>
      <c r="S6" s="8">
        <f t="shared" si="2"/>
        <v>0.10779827458389901</v>
      </c>
      <c r="T6" s="8">
        <f t="shared" si="2"/>
        <v>9.8942244453244399E-2</v>
      </c>
      <c r="U6" s="8">
        <f t="shared" si="2"/>
        <v>9.9297170336235974E-2</v>
      </c>
      <c r="Z6" s="8">
        <f>Z5/X5-1</f>
        <v>0.54384853865538019</v>
      </c>
      <c r="AA6" s="8">
        <f t="shared" ref="AA6:AE6" si="3">AA5/Y5-1</f>
        <v>0.63684477661935945</v>
      </c>
      <c r="AB6" s="8">
        <f t="shared" si="3"/>
        <v>0.59269957797218553</v>
      </c>
      <c r="AC6" s="8">
        <f t="shared" si="3"/>
        <v>0.54378371438045359</v>
      </c>
      <c r="AD6" s="8">
        <f t="shared" si="3"/>
        <v>-0.16537690046693243</v>
      </c>
      <c r="AE6" s="8">
        <f t="shared" si="3"/>
        <v>0.26865213671659416</v>
      </c>
    </row>
    <row r="8" spans="2:31">
      <c r="C8" s="1" t="s">
        <v>31</v>
      </c>
      <c r="F8" s="2">
        <v>5653.0889999999999</v>
      </c>
      <c r="G8" s="2">
        <v>7635.5959999999995</v>
      </c>
      <c r="H8" s="2">
        <v>10388.097</v>
      </c>
      <c r="I8" s="2">
        <v>16491.223000000002</v>
      </c>
      <c r="J8" s="2">
        <v>25588.523000000001</v>
      </c>
      <c r="K8" s="2">
        <v>27433.691999999999</v>
      </c>
      <c r="L8" s="1">
        <f t="shared" ref="L8:U8" si="4">L410</f>
        <v>62347.294862016526</v>
      </c>
      <c r="M8" s="1">
        <f t="shared" si="4"/>
        <v>82954.489454798546</v>
      </c>
      <c r="N8" s="1">
        <f t="shared" si="4"/>
        <v>98261.859406722011</v>
      </c>
      <c r="O8" s="1">
        <f t="shared" si="4"/>
        <v>113366.85669640289</v>
      </c>
      <c r="P8" s="1">
        <f t="shared" si="4"/>
        <v>130276.58757612409</v>
      </c>
      <c r="Q8" s="1">
        <f t="shared" si="4"/>
        <v>149964.98587458406</v>
      </c>
      <c r="R8" s="1">
        <f t="shared" si="4"/>
        <v>168604.68435924433</v>
      </c>
      <c r="S8" s="1">
        <f t="shared" si="4"/>
        <v>186478.867182407</v>
      </c>
      <c r="T8" s="1">
        <f t="shared" si="4"/>
        <v>204528.92397912906</v>
      </c>
      <c r="U8" s="1">
        <f t="shared" si="4"/>
        <v>224357.80685389589</v>
      </c>
      <c r="X8" s="2">
        <v>4646.6840000000002</v>
      </c>
      <c r="Y8" s="1">
        <f>H8-X8</f>
        <v>5741.4129999999996</v>
      </c>
      <c r="Z8" s="2">
        <v>7152.0370000000003</v>
      </c>
      <c r="AA8" s="1">
        <f>I8-Z8</f>
        <v>9339.1860000000015</v>
      </c>
      <c r="AB8" s="2">
        <v>11331.412</v>
      </c>
      <c r="AC8" s="1">
        <f>J8-AB8</f>
        <v>14257.111000000001</v>
      </c>
      <c r="AD8" s="2">
        <v>9150.6530000000002</v>
      </c>
      <c r="AE8" s="1">
        <f>K8-AD8</f>
        <v>18283.038999999997</v>
      </c>
    </row>
    <row r="9" spans="2:31" s="8" customFormat="1">
      <c r="D9" s="8" t="s">
        <v>30</v>
      </c>
      <c r="G9" s="8">
        <f t="shared" ref="G9:I9" si="5">G8/F8-1</f>
        <v>0.35069446102829782</v>
      </c>
      <c r="H9" s="8">
        <f t="shared" si="5"/>
        <v>0.36048279662779437</v>
      </c>
      <c r="I9" s="8">
        <f t="shared" si="5"/>
        <v>0.58751145662193971</v>
      </c>
      <c r="J9" s="8">
        <f>J8/I8-1</f>
        <v>0.55164495683552395</v>
      </c>
      <c r="K9" s="8">
        <f t="shared" ref="K9:U11" si="6">K8/J8-1</f>
        <v>7.2109242100452553E-2</v>
      </c>
      <c r="L9" s="8">
        <f t="shared" si="6"/>
        <v>1.2726541823833455</v>
      </c>
      <c r="M9" s="8">
        <f t="shared" si="6"/>
        <v>0.33052267365230015</v>
      </c>
      <c r="N9" s="8">
        <f t="shared" si="6"/>
        <v>0.18452732398846683</v>
      </c>
      <c r="O9" s="8">
        <f t="shared" si="6"/>
        <v>0.15372187521059222</v>
      </c>
      <c r="P9" s="8">
        <f t="shared" si="6"/>
        <v>0.14915938725376821</v>
      </c>
      <c r="Q9" s="8">
        <f t="shared" si="6"/>
        <v>0.15112767892354806</v>
      </c>
      <c r="R9" s="8">
        <f t="shared" si="6"/>
        <v>0.12429367012542958</v>
      </c>
      <c r="S9" s="8">
        <f t="shared" si="6"/>
        <v>0.10601237380260642</v>
      </c>
      <c r="T9" s="8">
        <f t="shared" si="6"/>
        <v>9.6794114365067019E-2</v>
      </c>
      <c r="U9" s="8">
        <f t="shared" si="6"/>
        <v>9.6949040209052484E-2</v>
      </c>
      <c r="Z9" s="8">
        <f>Z8/X8-1</f>
        <v>0.53917008344014783</v>
      </c>
      <c r="AA9" s="8">
        <f t="shared" ref="AA9:AE9" si="7">AA8/Y8-1</f>
        <v>0.62663546412703663</v>
      </c>
      <c r="AB9" s="8">
        <f t="shared" si="7"/>
        <v>0.58436149029989637</v>
      </c>
      <c r="AC9" s="8">
        <f t="shared" si="7"/>
        <v>0.52659032596631006</v>
      </c>
      <c r="AD9" s="8">
        <f t="shared" si="7"/>
        <v>-0.19245253813028773</v>
      </c>
      <c r="AE9" s="8">
        <f t="shared" si="7"/>
        <v>0.28238035040899923</v>
      </c>
    </row>
    <row r="10" spans="2:31">
      <c r="C10" s="1" t="s">
        <v>32</v>
      </c>
      <c r="F10" s="2">
        <v>0</v>
      </c>
      <c r="G10" s="2">
        <v>0</v>
      </c>
      <c r="H10" s="2">
        <v>0</v>
      </c>
      <c r="I10" s="2">
        <v>0</v>
      </c>
      <c r="J10" s="2">
        <v>21.154</v>
      </c>
      <c r="K10" s="2">
        <v>20.614000000000001</v>
      </c>
      <c r="L10" s="1">
        <f t="shared" ref="L10:U10" si="8">K10*(1+L11)</f>
        <v>51.535000000000004</v>
      </c>
      <c r="M10" s="1">
        <f t="shared" si="8"/>
        <v>95.339750000000009</v>
      </c>
      <c r="N10" s="1">
        <f t="shared" si="8"/>
        <v>152.54360000000003</v>
      </c>
      <c r="O10" s="1">
        <f t="shared" si="8"/>
        <v>205.93386000000004</v>
      </c>
      <c r="P10" s="1">
        <f t="shared" si="8"/>
        <v>247.12063200000003</v>
      </c>
      <c r="Q10" s="1">
        <f t="shared" si="8"/>
        <v>284.18872679999998</v>
      </c>
      <c r="R10" s="1">
        <f t="shared" si="8"/>
        <v>312.60759948000003</v>
      </c>
      <c r="S10" s="1">
        <f t="shared" si="8"/>
        <v>343.86835942800008</v>
      </c>
      <c r="T10" s="1">
        <f t="shared" si="8"/>
        <v>378.2551953708001</v>
      </c>
      <c r="U10" s="1">
        <f t="shared" si="8"/>
        <v>416.08071490788012</v>
      </c>
      <c r="X10" s="2">
        <v>0</v>
      </c>
      <c r="Y10" s="1">
        <f t="shared" ref="Y10:Y16" si="9">H10-X10</f>
        <v>0</v>
      </c>
      <c r="Z10" s="2">
        <v>0</v>
      </c>
      <c r="AA10" s="1">
        <f t="shared" ref="AA10:AA16" si="10">I10-Z10</f>
        <v>0</v>
      </c>
      <c r="AB10" s="2">
        <v>4.7610000000000001</v>
      </c>
      <c r="AC10" s="1">
        <f t="shared" ref="AC10:AC16" si="11">J10-AB10</f>
        <v>16.393000000000001</v>
      </c>
      <c r="AD10" s="2">
        <v>11.999000000000001</v>
      </c>
      <c r="AE10" s="1">
        <f>K10-AD10</f>
        <v>8.6150000000000002</v>
      </c>
    </row>
    <row r="11" spans="2:31" s="8" customFormat="1">
      <c r="D11" s="8" t="s">
        <v>30</v>
      </c>
      <c r="K11" s="8">
        <f t="shared" si="6"/>
        <v>-2.552708707573037E-2</v>
      </c>
      <c r="L11" s="9">
        <v>1.5</v>
      </c>
      <c r="M11" s="9">
        <v>0.85</v>
      </c>
      <c r="N11" s="9">
        <v>0.6</v>
      </c>
      <c r="O11" s="9">
        <v>0.35</v>
      </c>
      <c r="P11" s="9">
        <v>0.2</v>
      </c>
      <c r="Q11" s="9">
        <v>0.15</v>
      </c>
      <c r="R11" s="9">
        <v>0.1</v>
      </c>
      <c r="S11" s="9">
        <v>0.1</v>
      </c>
      <c r="T11" s="9">
        <v>0.1</v>
      </c>
      <c r="U11" s="9">
        <v>0.1</v>
      </c>
      <c r="Z11" s="8" t="e">
        <f>Z10/X10-1</f>
        <v>#DIV/0!</v>
      </c>
      <c r="AA11" s="8" t="e">
        <f t="shared" ref="AA11:AE11" si="12">AA10/Y10-1</f>
        <v>#DIV/0!</v>
      </c>
      <c r="AB11" s="8" t="e">
        <f t="shared" si="12"/>
        <v>#DIV/0!</v>
      </c>
      <c r="AC11" s="8" t="e">
        <f t="shared" si="12"/>
        <v>#DIV/0!</v>
      </c>
      <c r="AD11" s="8">
        <f t="shared" si="12"/>
        <v>1.5202688510817057</v>
      </c>
      <c r="AE11" s="8">
        <f t="shared" si="12"/>
        <v>-0.47447081071188923</v>
      </c>
    </row>
    <row r="12" spans="2:31">
      <c r="C12" s="1" t="s">
        <v>33</v>
      </c>
      <c r="F12" s="2">
        <v>74.072999999999993</v>
      </c>
      <c r="G12" s="2">
        <v>146.11799999999999</v>
      </c>
      <c r="H12" s="2">
        <v>218.762</v>
      </c>
      <c r="I12" s="2">
        <v>323.58499999999998</v>
      </c>
      <c r="J12" s="2">
        <v>448.54300000000001</v>
      </c>
      <c r="K12" s="2">
        <v>717.68299999999999</v>
      </c>
      <c r="L12" s="1">
        <f t="shared" ref="L12:P12" si="13">K12*(1+L13)</f>
        <v>968.87205000000006</v>
      </c>
      <c r="M12" s="1">
        <f t="shared" si="13"/>
        <v>1211.0900625000002</v>
      </c>
      <c r="N12" s="1">
        <f t="shared" si="13"/>
        <v>1392.753571875</v>
      </c>
      <c r="O12" s="1">
        <f t="shared" si="13"/>
        <v>1601.6666076562499</v>
      </c>
      <c r="P12" s="1">
        <f t="shared" si="13"/>
        <v>1841.9165988046873</v>
      </c>
      <c r="Q12" s="1">
        <f>P12*(1+Q13)</f>
        <v>2081.3657566492966</v>
      </c>
      <c r="R12" s="1">
        <f t="shared" ref="R12:U12" si="14">Q12*(1+R13)</f>
        <v>2310.3159898807194</v>
      </c>
      <c r="S12" s="1">
        <f t="shared" si="14"/>
        <v>2541.3475888687917</v>
      </c>
      <c r="T12" s="1">
        <f t="shared" si="14"/>
        <v>2770.068871866983</v>
      </c>
      <c r="U12" s="1">
        <f t="shared" si="14"/>
        <v>3019.3750703350115</v>
      </c>
      <c r="X12" s="2">
        <v>97.73</v>
      </c>
      <c r="Y12" s="1">
        <f t="shared" si="9"/>
        <v>121.032</v>
      </c>
      <c r="Z12" s="2">
        <v>133.357</v>
      </c>
      <c r="AA12" s="1">
        <f t="shared" si="10"/>
        <v>190.22799999999998</v>
      </c>
      <c r="AB12" s="2">
        <v>183.15600000000001</v>
      </c>
      <c r="AC12" s="1">
        <f t="shared" si="11"/>
        <v>265.387</v>
      </c>
      <c r="AD12" s="2">
        <v>409.64499999999998</v>
      </c>
      <c r="AE12" s="1">
        <f>K12-AD12</f>
        <v>308.03800000000001</v>
      </c>
    </row>
    <row r="13" spans="2:31" s="8" customFormat="1">
      <c r="D13" s="8" t="s">
        <v>30</v>
      </c>
      <c r="G13" s="8">
        <f t="shared" ref="G13:I13" si="15">G12/F12-1</f>
        <v>0.97262160301324374</v>
      </c>
      <c r="H13" s="8">
        <f t="shared" si="15"/>
        <v>0.49715982972665929</v>
      </c>
      <c r="I13" s="8">
        <f t="shared" si="15"/>
        <v>0.47916457154350378</v>
      </c>
      <c r="J13" s="8">
        <f>J12/I12-1</f>
        <v>0.38616746758965981</v>
      </c>
      <c r="K13" s="8">
        <f>K12/J12-1</f>
        <v>0.60003165805730996</v>
      </c>
      <c r="L13" s="9">
        <v>0.35</v>
      </c>
      <c r="M13" s="9">
        <v>0.25</v>
      </c>
      <c r="N13" s="9">
        <v>0.15</v>
      </c>
      <c r="O13" s="9">
        <v>0.15</v>
      </c>
      <c r="P13" s="9">
        <v>0.15</v>
      </c>
      <c r="Q13" s="9">
        <v>0.13</v>
      </c>
      <c r="R13" s="9">
        <v>0.11</v>
      </c>
      <c r="S13" s="9">
        <v>0.1</v>
      </c>
      <c r="T13" s="9">
        <v>0.09</v>
      </c>
      <c r="U13" s="9">
        <v>0.09</v>
      </c>
      <c r="Z13" s="8">
        <f>Z12/X12-1</f>
        <v>0.36454517548347476</v>
      </c>
      <c r="AA13" s="8">
        <f t="shared" ref="AA13:AE13" si="16">AA12/Y12-1</f>
        <v>0.57171657082424465</v>
      </c>
      <c r="AB13" s="8">
        <f t="shared" si="16"/>
        <v>0.3734262168465099</v>
      </c>
      <c r="AC13" s="8">
        <f t="shared" si="16"/>
        <v>0.39509956473284702</v>
      </c>
      <c r="AD13" s="8">
        <f t="shared" si="16"/>
        <v>1.2365906658804513</v>
      </c>
      <c r="AE13" s="8">
        <f t="shared" si="16"/>
        <v>0.16071246896042379</v>
      </c>
    </row>
    <row r="14" spans="2:31">
      <c r="C14" s="1" t="s">
        <v>34</v>
      </c>
      <c r="F14" s="2">
        <v>29.52</v>
      </c>
      <c r="G14" s="2">
        <v>25.972000000000001</v>
      </c>
      <c r="H14" s="2">
        <v>30.311</v>
      </c>
      <c r="I14" s="2">
        <v>154.292</v>
      </c>
      <c r="J14" s="2">
        <v>494.42500000000001</v>
      </c>
      <c r="K14" s="2">
        <v>420.90100000000001</v>
      </c>
      <c r="L14" s="1">
        <f t="shared" ref="L14:U14" si="17">K14*(1+L15)</f>
        <v>778.66685000000007</v>
      </c>
      <c r="M14" s="1">
        <f t="shared" si="17"/>
        <v>1245.8669600000003</v>
      </c>
      <c r="N14" s="1">
        <f t="shared" si="17"/>
        <v>1681.9203960000004</v>
      </c>
      <c r="O14" s="1">
        <f t="shared" si="17"/>
        <v>2018.3044752000005</v>
      </c>
      <c r="P14" s="1">
        <f t="shared" si="17"/>
        <v>2421.9653702400005</v>
      </c>
      <c r="Q14" s="1">
        <f t="shared" si="17"/>
        <v>2906.3584442880006</v>
      </c>
      <c r="R14" s="1">
        <f t="shared" si="17"/>
        <v>3487.6301331456007</v>
      </c>
      <c r="S14" s="1">
        <f t="shared" si="17"/>
        <v>4185.1561597747204</v>
      </c>
      <c r="T14" s="1">
        <f t="shared" si="17"/>
        <v>5022.1873917296643</v>
      </c>
      <c r="U14" s="1">
        <f t="shared" si="17"/>
        <v>6026.6248700755968</v>
      </c>
      <c r="X14" s="2">
        <v>11.651</v>
      </c>
      <c r="Y14" s="1">
        <f t="shared" si="9"/>
        <v>18.66</v>
      </c>
      <c r="Z14" s="2">
        <v>57.25</v>
      </c>
      <c r="AA14" s="1">
        <f t="shared" si="10"/>
        <v>97.042000000000002</v>
      </c>
      <c r="AB14" s="2">
        <v>175.297</v>
      </c>
      <c r="AC14" s="1">
        <f t="shared" si="11"/>
        <v>319.12800000000004</v>
      </c>
      <c r="AD14" s="2">
        <v>182.15</v>
      </c>
      <c r="AE14" s="1">
        <f>K14-AD14</f>
        <v>238.751</v>
      </c>
    </row>
    <row r="15" spans="2:31" s="8" customFormat="1">
      <c r="D15" s="8" t="s">
        <v>30</v>
      </c>
      <c r="G15" s="8">
        <f t="shared" ref="G15:I15" si="18">G14/F14-1</f>
        <v>-0.12018970189701894</v>
      </c>
      <c r="H15" s="8">
        <f t="shared" si="18"/>
        <v>0.16706453103342045</v>
      </c>
      <c r="I15" s="8">
        <f t="shared" si="18"/>
        <v>4.0902972518227703</v>
      </c>
      <c r="J15" s="8">
        <f>J14/I14-1</f>
        <v>2.2044759287584581</v>
      </c>
      <c r="K15" s="8">
        <f>K14/J14-1</f>
        <v>-0.14870607271072456</v>
      </c>
      <c r="L15" s="9">
        <v>0.85</v>
      </c>
      <c r="M15" s="9">
        <v>0.6</v>
      </c>
      <c r="N15" s="9">
        <v>0.35</v>
      </c>
      <c r="O15" s="9">
        <v>0.2</v>
      </c>
      <c r="P15" s="9">
        <v>0.2</v>
      </c>
      <c r="Q15" s="9">
        <v>0.2</v>
      </c>
      <c r="R15" s="9">
        <v>0.2</v>
      </c>
      <c r="S15" s="9">
        <v>0.2</v>
      </c>
      <c r="T15" s="9">
        <v>0.2</v>
      </c>
      <c r="U15" s="9">
        <v>0.2</v>
      </c>
      <c r="Z15" s="8">
        <f>Z14/X14-1</f>
        <v>3.9137413097588194</v>
      </c>
      <c r="AA15" s="8">
        <f t="shared" ref="AA15:AE15" si="19">AA14/Y14-1</f>
        <v>4.2005359056806002</v>
      </c>
      <c r="AB15" s="8">
        <f t="shared" si="19"/>
        <v>2.0619563318777292</v>
      </c>
      <c r="AC15" s="8">
        <f t="shared" si="19"/>
        <v>2.288555470827065</v>
      </c>
      <c r="AD15" s="8">
        <f t="shared" si="19"/>
        <v>3.9093652486922315E-2</v>
      </c>
      <c r="AE15" s="8">
        <f t="shared" si="19"/>
        <v>-0.25186445564162352</v>
      </c>
    </row>
    <row r="16" spans="2:31">
      <c r="C16" s="1" t="s">
        <v>35</v>
      </c>
      <c r="F16" s="2">
        <v>0</v>
      </c>
      <c r="G16" s="2">
        <v>0</v>
      </c>
      <c r="H16" s="2">
        <v>0</v>
      </c>
      <c r="I16" s="2">
        <v>0</v>
      </c>
      <c r="J16" s="2">
        <v>3.1469999999999998</v>
      </c>
      <c r="K16" s="2">
        <v>21.364999999999998</v>
      </c>
      <c r="X16" s="2">
        <v>0</v>
      </c>
      <c r="Y16" s="1">
        <f t="shared" si="9"/>
        <v>0</v>
      </c>
      <c r="Z16" s="2">
        <v>0</v>
      </c>
      <c r="AA16" s="1">
        <f t="shared" si="10"/>
        <v>0</v>
      </c>
      <c r="AB16" s="2">
        <v>0</v>
      </c>
      <c r="AC16" s="1">
        <f t="shared" si="11"/>
        <v>3.1469999999999998</v>
      </c>
      <c r="AD16" s="2">
        <v>6.1580000000000004</v>
      </c>
      <c r="AE16" s="1">
        <f>K16-AD16</f>
        <v>15.206999999999997</v>
      </c>
    </row>
    <row r="18" spans="2:31" s="10" customFormat="1" ht="19">
      <c r="C18" s="11" t="s">
        <v>36</v>
      </c>
    </row>
    <row r="19" spans="2:31" s="10" customFormat="1">
      <c r="C19" s="10" t="s">
        <v>31</v>
      </c>
      <c r="F19" s="12">
        <f>F8/F$5</f>
        <v>0.98200473814603628</v>
      </c>
      <c r="G19" s="12">
        <f>G8/G$5</f>
        <v>0.97795889844955342</v>
      </c>
      <c r="H19" s="12">
        <f>H8/H$5</f>
        <v>0.97658465550517659</v>
      </c>
      <c r="I19" s="12">
        <f>I8/I$5</f>
        <v>0.9718384003865852</v>
      </c>
      <c r="J19" s="12">
        <f>J8/J$5</f>
        <v>0.96357596866250494</v>
      </c>
      <c r="K19" s="12">
        <f t="shared" ref="K19:O19" si="20">K8/K$5</f>
        <v>0.95874213744163528</v>
      </c>
      <c r="L19" s="12">
        <f t="shared" si="20"/>
        <v>0.97195361273411163</v>
      </c>
      <c r="M19" s="12">
        <f t="shared" si="20"/>
        <v>0.97015094491195875</v>
      </c>
      <c r="N19" s="12">
        <f t="shared" si="20"/>
        <v>0.96820133097985717</v>
      </c>
      <c r="O19" s="12">
        <f t="shared" si="20"/>
        <v>0.9673537436157269</v>
      </c>
      <c r="P19" s="12">
        <f>P8/P$5</f>
        <v>0.96653250796222934</v>
      </c>
      <c r="Q19" s="12">
        <f t="shared" ref="Q19:U19" si="21">Q8/Q$5</f>
        <v>0.96603956296208582</v>
      </c>
      <c r="R19" s="12">
        <f t="shared" si="21"/>
        <v>0.96502563949432318</v>
      </c>
      <c r="S19" s="12">
        <f t="shared" si="21"/>
        <v>0.96346990495033524</v>
      </c>
      <c r="T19" s="12">
        <f t="shared" si="21"/>
        <v>0.96158658605680525</v>
      </c>
      <c r="U19" s="12">
        <f t="shared" si="21"/>
        <v>0.95953260966757747</v>
      </c>
      <c r="X19" s="12">
        <f t="shared" ref="X19:AE19" si="22">X8/X$5</f>
        <v>0.97700178614043343</v>
      </c>
      <c r="Y19" s="12">
        <f t="shared" si="22"/>
        <v>0.97624732086912225</v>
      </c>
      <c r="Z19" s="12">
        <f t="shared" si="22"/>
        <v>0.97404109473372258</v>
      </c>
      <c r="AA19" s="12">
        <f t="shared" si="22"/>
        <v>0.97015828047206609</v>
      </c>
      <c r="AB19" s="12">
        <f t="shared" si="22"/>
        <v>0.96894180284174969</v>
      </c>
      <c r="AC19" s="12">
        <f t="shared" si="22"/>
        <v>0.95935345853750642</v>
      </c>
      <c r="AD19" s="12">
        <f t="shared" si="22"/>
        <v>0.93750879171936585</v>
      </c>
      <c r="AE19" s="12">
        <f t="shared" si="22"/>
        <v>0.96973471980226622</v>
      </c>
    </row>
    <row r="20" spans="2:31" s="10" customFormat="1">
      <c r="C20" s="10" t="s">
        <v>32</v>
      </c>
      <c r="F20" s="12">
        <f>F10/F$5</f>
        <v>0</v>
      </c>
      <c r="G20" s="12">
        <f>G10/G$5</f>
        <v>0</v>
      </c>
      <c r="H20" s="12">
        <f>H10/H$5</f>
        <v>0</v>
      </c>
      <c r="I20" s="12">
        <f>I10/I$5</f>
        <v>0</v>
      </c>
      <c r="J20" s="12">
        <f>J10/J$5</f>
        <v>7.9658704963497221E-4</v>
      </c>
      <c r="K20" s="12">
        <f t="shared" ref="K20:O20" si="23">K10/K$5</f>
        <v>7.2041015920211796E-4</v>
      </c>
      <c r="L20" s="12">
        <f t="shared" si="23"/>
        <v>8.0339699650334388E-4</v>
      </c>
      <c r="M20" s="12">
        <f t="shared" si="23"/>
        <v>1.1149962968619001E-3</v>
      </c>
      <c r="N20" s="12">
        <f t="shared" si="23"/>
        <v>1.5030543635566032E-3</v>
      </c>
      <c r="O20" s="12">
        <f t="shared" si="23"/>
        <v>1.757223373862477E-3</v>
      </c>
      <c r="P20" s="12">
        <f>P10/P$5</f>
        <v>1.8334078951569458E-3</v>
      </c>
      <c r="Q20" s="12">
        <f t="shared" ref="Q20:U20" si="24">Q10/Q$5</f>
        <v>1.830677686764961E-3</v>
      </c>
      <c r="R20" s="12">
        <f t="shared" si="24"/>
        <v>1.7892406118218977E-3</v>
      </c>
      <c r="S20" s="12">
        <f t="shared" si="24"/>
        <v>1.7766453678070148E-3</v>
      </c>
      <c r="T20" s="12">
        <f t="shared" si="24"/>
        <v>1.778355427186296E-3</v>
      </c>
      <c r="U20" s="12">
        <f t="shared" si="24"/>
        <v>1.7794924090513181E-3</v>
      </c>
      <c r="X20" s="12">
        <f t="shared" ref="X20:AE20" si="25">X10/X$5</f>
        <v>0</v>
      </c>
      <c r="Y20" s="12">
        <f t="shared" si="25"/>
        <v>0</v>
      </c>
      <c r="Z20" s="12">
        <f t="shared" si="25"/>
        <v>0</v>
      </c>
      <c r="AA20" s="12">
        <f t="shared" si="25"/>
        <v>0</v>
      </c>
      <c r="AB20" s="12">
        <f t="shared" si="25"/>
        <v>4.071100691890446E-4</v>
      </c>
      <c r="AC20" s="12">
        <f t="shared" si="25"/>
        <v>1.1030762996658539E-3</v>
      </c>
      <c r="AD20" s="12">
        <f t="shared" si="25"/>
        <v>1.2293295343884935E-3</v>
      </c>
      <c r="AE20" s="12">
        <f t="shared" si="25"/>
        <v>4.5694069848543911E-4</v>
      </c>
    </row>
    <row r="21" spans="2:31" s="10" customFormat="1">
      <c r="C21" s="10" t="s">
        <v>33</v>
      </c>
      <c r="F21" s="12">
        <f>F12/F$5</f>
        <v>1.2867307938843938E-2</v>
      </c>
      <c r="G21" s="12">
        <f>G12/G$5</f>
        <v>1.8714635808868337E-2</v>
      </c>
      <c r="H21" s="12">
        <f>H12/H$5</f>
        <v>2.056580838700519E-2</v>
      </c>
      <c r="I21" s="12">
        <f>I12/I$5</f>
        <v>1.9069072608447118E-2</v>
      </c>
      <c r="J21" s="12">
        <f>J12/J$5</f>
        <v>1.6890590195916582E-2</v>
      </c>
      <c r="K21" s="12">
        <f t="shared" ref="K21:O21" si="26">K12/K$5</f>
        <v>2.5081309997412128E-2</v>
      </c>
      <c r="L21" s="12">
        <f t="shared" si="26"/>
        <v>1.5104082564587904E-2</v>
      </c>
      <c r="M21" s="12">
        <f t="shared" si="26"/>
        <v>1.4163671866705621E-2</v>
      </c>
      <c r="N21" s="12">
        <f t="shared" si="26"/>
        <v>1.3723186902405368E-2</v>
      </c>
      <c r="O21" s="12">
        <f t="shared" si="26"/>
        <v>1.3666941415601024E-2</v>
      </c>
      <c r="P21" s="12">
        <f>P12/P$5</f>
        <v>1.3665327767813177E-2</v>
      </c>
      <c r="Q21" s="12">
        <f t="shared" ref="Q21:U21" si="27">Q12/Q$5</f>
        <v>1.3407674159348595E-2</v>
      </c>
      <c r="R21" s="12">
        <f t="shared" si="27"/>
        <v>1.3223322792255271E-2</v>
      </c>
      <c r="S21" s="12">
        <f t="shared" si="27"/>
        <v>1.3130238063373321E-2</v>
      </c>
      <c r="T21" s="12">
        <f t="shared" si="27"/>
        <v>1.3023395507192951E-2</v>
      </c>
      <c r="U21" s="12">
        <f t="shared" si="27"/>
        <v>1.2913251744747434E-2</v>
      </c>
      <c r="X21" s="12">
        <f t="shared" ref="X21:AE21" si="28">X12/X$5</f>
        <v>2.0548499652548905E-2</v>
      </c>
      <c r="Y21" s="12">
        <f t="shared" si="28"/>
        <v>2.0579806005844137E-2</v>
      </c>
      <c r="Z21" s="12">
        <f t="shared" si="28"/>
        <v>1.8161986336257076E-2</v>
      </c>
      <c r="AA21" s="12">
        <f t="shared" si="28"/>
        <v>1.9760958757823233E-2</v>
      </c>
      <c r="AB21" s="12">
        <f t="shared" si="28"/>
        <v>1.5661552579791779E-2</v>
      </c>
      <c r="AC21" s="12">
        <f t="shared" si="28"/>
        <v>1.7857750865578111E-2</v>
      </c>
      <c r="AD21" s="12">
        <f t="shared" si="28"/>
        <v>4.196922219473076E-2</v>
      </c>
      <c r="AE21" s="12">
        <f t="shared" si="28"/>
        <v>1.6338374797453013E-2</v>
      </c>
    </row>
    <row r="22" spans="2:31" s="10" customFormat="1">
      <c r="C22" s="10" t="s">
        <v>34</v>
      </c>
      <c r="F22" s="12">
        <f>F14/F$5</f>
        <v>5.127953915119856E-3</v>
      </c>
      <c r="G22" s="12">
        <f>G14/G$5</f>
        <v>3.3264657415782348E-3</v>
      </c>
      <c r="H22" s="12">
        <f>H14/H$5</f>
        <v>2.8495361078181508E-3</v>
      </c>
      <c r="I22" s="12">
        <f>I14/I$5</f>
        <v>9.0925270049678538E-3</v>
      </c>
      <c r="J22" s="12">
        <f>J14/J$5</f>
        <v>1.8618348870935577E-2</v>
      </c>
      <c r="K22" s="12">
        <f t="shared" ref="K22:O22" si="29">K14/K$5</f>
        <v>1.470948658282384E-2</v>
      </c>
      <c r="L22" s="12">
        <f t="shared" si="29"/>
        <v>1.2138907704797124E-2</v>
      </c>
      <c r="M22" s="12">
        <f t="shared" si="29"/>
        <v>1.4570386924473719E-2</v>
      </c>
      <c r="N22" s="12">
        <f t="shared" si="29"/>
        <v>1.6572427754180774E-2</v>
      </c>
      <c r="O22" s="12">
        <f t="shared" si="29"/>
        <v>1.7222091594809519E-2</v>
      </c>
      <c r="P22" s="12">
        <f>P14/P$5</f>
        <v>1.7968756374800512E-2</v>
      </c>
      <c r="Q22" s="12">
        <f t="shared" ref="Q22:U22" si="30">Q14/Q$5</f>
        <v>1.8722085191800675E-2</v>
      </c>
      <c r="R22" s="12">
        <f t="shared" si="30"/>
        <v>1.9961797101599753E-2</v>
      </c>
      <c r="S22" s="12">
        <f t="shared" si="30"/>
        <v>2.1623211618484548E-2</v>
      </c>
      <c r="T22" s="12">
        <f t="shared" si="30"/>
        <v>2.3611663008815596E-2</v>
      </c>
      <c r="U22" s="12">
        <f t="shared" si="30"/>
        <v>2.5774646178623701E-2</v>
      </c>
      <c r="X22" s="12">
        <f t="shared" ref="X22:AE22" si="31">X14/X$5</f>
        <v>2.4497142070177766E-3</v>
      </c>
      <c r="Y22" s="12">
        <f t="shared" si="31"/>
        <v>3.1728731250334754E-3</v>
      </c>
      <c r="Z22" s="12">
        <f t="shared" si="31"/>
        <v>7.7969189300203029E-3</v>
      </c>
      <c r="AA22" s="12">
        <f t="shared" si="31"/>
        <v>1.0080760770111037E-2</v>
      </c>
      <c r="AB22" s="12">
        <f t="shared" si="31"/>
        <v>1.4989534509269471E-2</v>
      </c>
      <c r="AC22" s="12">
        <f t="shared" si="31"/>
        <v>2.1473954331712602E-2</v>
      </c>
      <c r="AD22" s="12">
        <f t="shared" si="31"/>
        <v>1.8661753036825074E-2</v>
      </c>
      <c r="AE22" s="12">
        <f t="shared" si="31"/>
        <v>1.2663383482773892E-2</v>
      </c>
    </row>
    <row r="23" spans="2:31" s="10" customFormat="1">
      <c r="C23" s="10" t="s">
        <v>35</v>
      </c>
      <c r="F23" s="12">
        <f t="shared" ref="F23:U23" si="32">F16/F$5</f>
        <v>0</v>
      </c>
      <c r="G23" s="12">
        <f t="shared" si="32"/>
        <v>0</v>
      </c>
      <c r="H23" s="12">
        <f t="shared" si="32"/>
        <v>0</v>
      </c>
      <c r="I23" s="12">
        <f t="shared" si="32"/>
        <v>0</v>
      </c>
      <c r="J23" s="12">
        <f t="shared" si="32"/>
        <v>1.1850522100790666E-4</v>
      </c>
      <c r="K23" s="12">
        <f t="shared" si="32"/>
        <v>7.4665581892661536E-4</v>
      </c>
      <c r="L23" s="12">
        <f t="shared" si="32"/>
        <v>0</v>
      </c>
      <c r="M23" s="12">
        <f t="shared" si="32"/>
        <v>0</v>
      </c>
      <c r="N23" s="12">
        <f t="shared" si="32"/>
        <v>0</v>
      </c>
      <c r="O23" s="12">
        <f t="shared" si="32"/>
        <v>0</v>
      </c>
      <c r="P23" s="12">
        <f t="shared" si="32"/>
        <v>0</v>
      </c>
      <c r="Q23" s="12">
        <f t="shared" si="32"/>
        <v>0</v>
      </c>
      <c r="R23" s="12">
        <f t="shared" si="32"/>
        <v>0</v>
      </c>
      <c r="S23" s="12">
        <f t="shared" si="32"/>
        <v>0</v>
      </c>
      <c r="T23" s="12">
        <f t="shared" si="32"/>
        <v>0</v>
      </c>
      <c r="U23" s="12">
        <f t="shared" si="32"/>
        <v>0</v>
      </c>
      <c r="X23" s="12">
        <f t="shared" ref="X23:AE23" si="33">X16/X$5</f>
        <v>0</v>
      </c>
      <c r="Y23" s="12">
        <f t="shared" si="33"/>
        <v>0</v>
      </c>
      <c r="Z23" s="12">
        <f t="shared" si="33"/>
        <v>0</v>
      </c>
      <c r="AA23" s="12">
        <f t="shared" si="33"/>
        <v>0</v>
      </c>
      <c r="AB23" s="12">
        <f t="shared" si="33"/>
        <v>0</v>
      </c>
      <c r="AC23" s="12">
        <f t="shared" si="33"/>
        <v>2.1175996553702447E-4</v>
      </c>
      <c r="AD23" s="12">
        <f t="shared" si="33"/>
        <v>6.3090351468991941E-4</v>
      </c>
      <c r="AE23" s="12">
        <f t="shared" si="33"/>
        <v>8.0658121902125036E-4</v>
      </c>
    </row>
    <row r="25" spans="2:31" s="6" customFormat="1">
      <c r="B25" s="6" t="s">
        <v>37</v>
      </c>
      <c r="F25" s="7">
        <v>-2599.7399999999998</v>
      </c>
      <c r="G25" s="7">
        <v>-3179.2809999999999</v>
      </c>
      <c r="H25" s="7">
        <v>-4313.2299999999996</v>
      </c>
      <c r="I25" s="7">
        <v>-6935.0330000000004</v>
      </c>
      <c r="J25" s="7">
        <v>-11238.992</v>
      </c>
      <c r="K25" s="7">
        <v>-12261.465</v>
      </c>
      <c r="L25" s="6">
        <f t="shared" ref="L25:U25" si="34">L32-L5</f>
        <v>-27582.938567667108</v>
      </c>
      <c r="M25" s="6">
        <f t="shared" si="34"/>
        <v>-35912.850215465398</v>
      </c>
      <c r="N25" s="6">
        <f t="shared" si="34"/>
        <v>-42117.966944457767</v>
      </c>
      <c r="O25" s="6">
        <f t="shared" si="34"/>
        <v>-48049.032272096258</v>
      </c>
      <c r="P25" s="6">
        <f t="shared" si="34"/>
        <v>-54588.974021753354</v>
      </c>
      <c r="Q25" s="6">
        <f t="shared" si="34"/>
        <v>-62094.759520928535</v>
      </c>
      <c r="R25" s="6">
        <f t="shared" si="34"/>
        <v>-69886.09523270026</v>
      </c>
      <c r="S25" s="6">
        <f t="shared" si="34"/>
        <v>-77419.695716191403</v>
      </c>
      <c r="T25" s="6">
        <f t="shared" si="34"/>
        <v>-85079.774175238606</v>
      </c>
      <c r="U25" s="6">
        <f t="shared" si="34"/>
        <v>-93527.955003685754</v>
      </c>
      <c r="X25" s="7">
        <v>-1949.182</v>
      </c>
      <c r="Y25" s="6">
        <f>H25-X25</f>
        <v>-2364.0479999999998</v>
      </c>
      <c r="Z25" s="7">
        <v>-3066.3270000000002</v>
      </c>
      <c r="AA25" s="6">
        <f>I25-Z25</f>
        <v>-3868.7060000000001</v>
      </c>
      <c r="AB25" s="7">
        <v>-4902.5829999999996</v>
      </c>
      <c r="AC25" s="6">
        <f>J25-AB25</f>
        <v>-6336.4090000000006</v>
      </c>
      <c r="AD25" s="7">
        <v>-4348.1840000000002</v>
      </c>
      <c r="AE25" s="6">
        <f>K25-AD25</f>
        <v>-7913.2809999999999</v>
      </c>
    </row>
    <row r="26" spans="2:31" hidden="1" outlineLevel="1"/>
    <row r="27" spans="2:31" hidden="1" outlineLevel="1">
      <c r="C27" s="1" t="s">
        <v>38</v>
      </c>
      <c r="F27" s="2">
        <v>-2438.9850000000001</v>
      </c>
      <c r="G27" s="2">
        <v>-3000.654</v>
      </c>
      <c r="H27" s="2">
        <v>-4038.8510000000001</v>
      </c>
      <c r="I27" s="2"/>
      <c r="J27" s="2"/>
      <c r="X27" s="2">
        <v>-1817.53</v>
      </c>
      <c r="Y27" s="1">
        <f>H27-X27</f>
        <v>-2221.3209999999999</v>
      </c>
      <c r="Z27" s="2">
        <v>-2885.3539999999998</v>
      </c>
    </row>
    <row r="28" spans="2:31" s="13" customFormat="1" hidden="1" outlineLevel="1">
      <c r="D28" s="13" t="s">
        <v>39</v>
      </c>
      <c r="F28" s="13">
        <f t="shared" ref="F28:G28" si="35">F27/F25</f>
        <v>0.93816497034318824</v>
      </c>
      <c r="G28" s="13">
        <f t="shared" si="35"/>
        <v>0.94381528402176473</v>
      </c>
      <c r="H28" s="13">
        <f>H27/H25</f>
        <v>0.93638665223046313</v>
      </c>
      <c r="X28" s="13">
        <f>X27/X25</f>
        <v>0.9324578207678913</v>
      </c>
      <c r="Y28" s="13">
        <f>Y27/Y25</f>
        <v>0.93962601436180659</v>
      </c>
      <c r="Z28" s="13">
        <f>Z27/Z25</f>
        <v>0.94098052816936995</v>
      </c>
    </row>
    <row r="29" spans="2:31" hidden="1" outlineLevel="1">
      <c r="C29" s="1" t="s">
        <v>40</v>
      </c>
      <c r="F29" s="2">
        <v>-147.899</v>
      </c>
      <c r="G29" s="2">
        <v>-165.98</v>
      </c>
      <c r="H29" s="2">
        <v>-254.09899999999999</v>
      </c>
      <c r="I29" s="2"/>
      <c r="J29" s="2"/>
      <c r="X29" s="2">
        <v>-122.227</v>
      </c>
      <c r="Y29" s="1">
        <f t="shared" ref="Y29:Y30" si="36">H29-X29</f>
        <v>-131.87199999999999</v>
      </c>
      <c r="Z29" s="2">
        <v>-167.23099999999999</v>
      </c>
    </row>
    <row r="30" spans="2:31" hidden="1" outlineLevel="1">
      <c r="C30" s="1" t="s">
        <v>41</v>
      </c>
      <c r="F30" s="2">
        <v>-12.856</v>
      </c>
      <c r="G30" s="2">
        <v>-12.647</v>
      </c>
      <c r="H30" s="2">
        <v>-20.28</v>
      </c>
      <c r="I30" s="2"/>
      <c r="J30" s="2"/>
      <c r="X30" s="2">
        <v>-9.4250000000000007</v>
      </c>
      <c r="Y30" s="1">
        <f t="shared" si="36"/>
        <v>-10.855</v>
      </c>
      <c r="Z30" s="2">
        <v>-13.742000000000001</v>
      </c>
    </row>
    <row r="31" spans="2:31" collapsed="1"/>
    <row r="32" spans="2:31" s="6" customFormat="1">
      <c r="B32" s="6" t="s">
        <v>42</v>
      </c>
      <c r="C32" s="6" t="s">
        <v>29</v>
      </c>
      <c r="F32" s="6">
        <f t="shared" ref="F32:K32" si="37">F5+F25</f>
        <v>3156.942</v>
      </c>
      <c r="G32" s="6">
        <f t="shared" si="37"/>
        <v>4628.4049999999997</v>
      </c>
      <c r="H32" s="6">
        <f t="shared" si="37"/>
        <v>6323.9400000000005</v>
      </c>
      <c r="I32" s="6">
        <f t="shared" si="37"/>
        <v>10034.066999999999</v>
      </c>
      <c r="J32" s="6">
        <f t="shared" si="37"/>
        <v>15316.800000000001</v>
      </c>
      <c r="K32" s="6">
        <f t="shared" si="37"/>
        <v>16352.79</v>
      </c>
      <c r="L32" s="6">
        <f t="shared" ref="L32:U32" si="38">L33*L5</f>
        <v>36563.430194349421</v>
      </c>
      <c r="M32" s="6">
        <f t="shared" si="38"/>
        <v>49593.936011833153</v>
      </c>
      <c r="N32" s="6">
        <f t="shared" si="38"/>
        <v>59371.110030139251</v>
      </c>
      <c r="O32" s="6">
        <f t="shared" si="38"/>
        <v>69143.729367162887</v>
      </c>
      <c r="P32" s="6">
        <f t="shared" si="38"/>
        <v>80198.616155415424</v>
      </c>
      <c r="Q32" s="6">
        <f t="shared" si="38"/>
        <v>93142.139281392811</v>
      </c>
      <c r="R32" s="6">
        <f t="shared" si="38"/>
        <v>104829.14284905037</v>
      </c>
      <c r="S32" s="6">
        <f t="shared" si="38"/>
        <v>116129.54357428709</v>
      </c>
      <c r="T32" s="6">
        <f t="shared" si="38"/>
        <v>127619.66126285789</v>
      </c>
      <c r="U32" s="6">
        <f t="shared" si="38"/>
        <v>140291.93250552865</v>
      </c>
      <c r="X32" s="6">
        <f t="shared" ref="X32:AE32" si="39">X5+X25</f>
        <v>2806.8829999999998</v>
      </c>
      <c r="Y32" s="6">
        <f t="shared" si="39"/>
        <v>3517.0570000000007</v>
      </c>
      <c r="Z32" s="6">
        <f t="shared" si="39"/>
        <v>4276.317</v>
      </c>
      <c r="AA32" s="6">
        <f t="shared" si="39"/>
        <v>5757.7499999999982</v>
      </c>
      <c r="AB32" s="6">
        <f t="shared" si="39"/>
        <v>6792.0430000000006</v>
      </c>
      <c r="AC32" s="6">
        <f t="shared" si="39"/>
        <v>8524.7570000000014</v>
      </c>
      <c r="AD32" s="6">
        <f t="shared" si="39"/>
        <v>5412.4209999999994</v>
      </c>
      <c r="AE32" s="6">
        <f t="shared" si="39"/>
        <v>10940.369000000002</v>
      </c>
    </row>
    <row r="33" spans="2:31" s="8" customFormat="1">
      <c r="B33" s="8" t="s">
        <v>43</v>
      </c>
      <c r="F33" s="8">
        <f t="shared" ref="F33:I33" si="40">F32/F$5</f>
        <v>0.54839610734099953</v>
      </c>
      <c r="G33" s="8">
        <f t="shared" si="40"/>
        <v>0.59280111930730817</v>
      </c>
      <c r="H33" s="8">
        <f t="shared" si="40"/>
        <v>0.59451339030964068</v>
      </c>
      <c r="I33" s="8">
        <f t="shared" si="40"/>
        <v>0.59131403551160644</v>
      </c>
      <c r="J33" s="8">
        <f>J32/J$5</f>
        <v>0.57677812810101847</v>
      </c>
      <c r="K33" s="8">
        <f>K32/K$5</f>
        <v>0.57149102781113825</v>
      </c>
      <c r="L33" s="9">
        <v>0.56999999999999995</v>
      </c>
      <c r="M33" s="9">
        <v>0.57999999999999996</v>
      </c>
      <c r="N33" s="9">
        <v>0.58499999999999996</v>
      </c>
      <c r="O33" s="9">
        <v>0.59</v>
      </c>
      <c r="P33" s="9">
        <v>0.59499999999999997</v>
      </c>
      <c r="Q33" s="9">
        <v>0.6</v>
      </c>
      <c r="R33" s="9">
        <v>0.6</v>
      </c>
      <c r="S33" s="9">
        <v>0.6</v>
      </c>
      <c r="T33" s="9">
        <v>0.6</v>
      </c>
      <c r="U33" s="9">
        <v>0.6</v>
      </c>
      <c r="X33" s="8">
        <f>X32/X$5</f>
        <v>0.59016918397877238</v>
      </c>
      <c r="Y33" s="8">
        <f t="shared" ref="Y33:AE33" si="41">Y32/Y$5</f>
        <v>0.59802656133498733</v>
      </c>
      <c r="Z33" s="8">
        <f t="shared" si="41"/>
        <v>0.58239470686581019</v>
      </c>
      <c r="AA33" s="8">
        <f t="shared" si="41"/>
        <v>0.5981173133705695</v>
      </c>
      <c r="AB33" s="8">
        <f t="shared" si="41"/>
        <v>0.58078325890883564</v>
      </c>
      <c r="AC33" s="8">
        <f t="shared" si="41"/>
        <v>0.57362638974626901</v>
      </c>
      <c r="AD33" s="8">
        <f t="shared" si="41"/>
        <v>0.55451695873360307</v>
      </c>
      <c r="AE33" s="8">
        <f t="shared" si="41"/>
        <v>0.5802785667496746</v>
      </c>
    </row>
    <row r="35" spans="2:31" s="6" customFormat="1">
      <c r="B35" s="6" t="s">
        <v>44</v>
      </c>
      <c r="F35" s="6">
        <f>F37+F42+F44+F45+F46+F48</f>
        <v>-2637.348</v>
      </c>
      <c r="G35" s="6">
        <f>G37+G42+G44+G45+G46+G48</f>
        <v>-3348.4670000000006</v>
      </c>
      <c r="H35" s="6">
        <f>H37+H42+H44+H45+H46+H48</f>
        <v>-4807.5729999999994</v>
      </c>
      <c r="I35" s="6">
        <f>I37+I42+I44+I45+I46+I48</f>
        <v>-7890.8670000000002</v>
      </c>
      <c r="J35" s="6">
        <f>J37+J42+J44+J45+J46+J48</f>
        <v>-12255.808999999999</v>
      </c>
      <c r="K35" s="6">
        <f t="shared" ref="K35:U35" si="42">K37+K42+K44+K45+K46+K48</f>
        <v>-15362.849999999999</v>
      </c>
      <c r="L35" s="6">
        <f t="shared" si="42"/>
        <v>-31314.612592091318</v>
      </c>
      <c r="M35" s="6">
        <f t="shared" si="42"/>
        <v>-40409.357728059687</v>
      </c>
      <c r="N35" s="6">
        <f t="shared" si="42"/>
        <v>-48332.734669787227</v>
      </c>
      <c r="O35" s="6">
        <f t="shared" si="42"/>
        <v>-56347.635154510113</v>
      </c>
      <c r="P35" s="6">
        <f t="shared" si="42"/>
        <v>-64883.337669900866</v>
      </c>
      <c r="Q35" s="6">
        <f t="shared" si="42"/>
        <v>-74042.66022111589</v>
      </c>
      <c r="R35" s="6">
        <f t="shared" si="42"/>
        <v>-82116.314179286113</v>
      </c>
      <c r="S35" s="6">
        <f t="shared" si="42"/>
        <v>-90209.063393396835</v>
      </c>
      <c r="T35" s="6">
        <f t="shared" si="42"/>
        <v>-98630.648222997363</v>
      </c>
      <c r="U35" s="6">
        <f t="shared" si="42"/>
        <v>-107540.28313695926</v>
      </c>
      <c r="X35" s="6">
        <f t="shared" ref="X35:AE35" si="43">X37+X42+X44+X45+X46+X48</f>
        <v>-2090.848</v>
      </c>
      <c r="Y35" s="6">
        <f t="shared" si="43"/>
        <v>-2716.7250000000004</v>
      </c>
      <c r="Z35" s="6">
        <f t="shared" si="43"/>
        <v>-3417.6420000000007</v>
      </c>
      <c r="AA35" s="6">
        <f t="shared" si="43"/>
        <v>-4473.2250000000004</v>
      </c>
      <c r="AB35" s="6">
        <f t="shared" si="43"/>
        <v>-5573.232</v>
      </c>
      <c r="AC35" s="6">
        <f t="shared" si="43"/>
        <v>-6682.5770000000002</v>
      </c>
      <c r="AD35" s="6">
        <f t="shared" si="43"/>
        <v>-6409.0540000000001</v>
      </c>
      <c r="AE35" s="6">
        <f t="shared" si="43"/>
        <v>-8953.7960000000003</v>
      </c>
    </row>
    <row r="36" spans="2:31" s="8" customFormat="1">
      <c r="C36" s="8" t="s">
        <v>30</v>
      </c>
      <c r="G36" s="8">
        <f t="shared" ref="G36:I36" si="44">G35/F35-1</f>
        <v>0.26963411730268461</v>
      </c>
      <c r="H36" s="8">
        <f t="shared" si="44"/>
        <v>0.43575343582600601</v>
      </c>
      <c r="I36" s="8">
        <f t="shared" si="44"/>
        <v>0.64134106751993181</v>
      </c>
      <c r="J36" s="8">
        <f>J35/I35-1</f>
        <v>0.55316380316636926</v>
      </c>
      <c r="K36" s="8">
        <f>K35/J35-1</f>
        <v>0.25351578178152079</v>
      </c>
      <c r="L36" s="8">
        <f t="shared" ref="L36:U36" si="45">L35/K35-1</f>
        <v>1.0383335508770393</v>
      </c>
      <c r="M36" s="8">
        <f t="shared" si="45"/>
        <v>0.2904313476407272</v>
      </c>
      <c r="N36" s="8">
        <f t="shared" si="45"/>
        <v>0.19607777473349097</v>
      </c>
      <c r="O36" s="8">
        <f t="shared" si="45"/>
        <v>0.16582758123415253</v>
      </c>
      <c r="P36" s="8">
        <f t="shared" si="45"/>
        <v>0.15148288818128952</v>
      </c>
      <c r="Q36" s="8">
        <f t="shared" si="45"/>
        <v>0.1411660201239</v>
      </c>
      <c r="R36" s="8">
        <f t="shared" si="45"/>
        <v>0.10904057112561349</v>
      </c>
      <c r="S36" s="8">
        <f t="shared" si="45"/>
        <v>9.8552270580991586E-2</v>
      </c>
      <c r="T36" s="8">
        <f t="shared" si="45"/>
        <v>9.3356304929965273E-2</v>
      </c>
      <c r="U36" s="8">
        <f t="shared" si="45"/>
        <v>9.0333330201965323E-2</v>
      </c>
      <c r="Z36" s="8">
        <f>Z35/X35-1</f>
        <v>0.63457219271797882</v>
      </c>
      <c r="AA36" s="8">
        <f t="shared" ref="AA36:AE36" si="46">AA35/Y35-1</f>
        <v>0.64655053419098363</v>
      </c>
      <c r="AB36" s="8">
        <f t="shared" si="46"/>
        <v>0.63072434151967904</v>
      </c>
      <c r="AC36" s="8">
        <f t="shared" si="46"/>
        <v>0.49390585092410944</v>
      </c>
      <c r="AD36" s="8">
        <f t="shared" si="46"/>
        <v>0.1499707889425741</v>
      </c>
      <c r="AE36" s="8">
        <f t="shared" si="46"/>
        <v>0.33987172912485697</v>
      </c>
    </row>
    <row r="37" spans="2:31">
      <c r="C37" s="1" t="s">
        <v>45</v>
      </c>
      <c r="F37" s="2">
        <v>-1571.877</v>
      </c>
      <c r="G37" s="2">
        <v>-2044.2919999999999</v>
      </c>
      <c r="H37" s="2">
        <v>-3119.6990000000001</v>
      </c>
      <c r="I37" s="2">
        <v>-5016.3209999999999</v>
      </c>
      <c r="J37" s="2">
        <v>-7992.5550000000003</v>
      </c>
      <c r="K37" s="2">
        <v>-9676.51</v>
      </c>
      <c r="L37" s="1">
        <f t="shared" ref="L37:P37" si="47">-L40*L38</f>
        <v>-20606.174868002508</v>
      </c>
      <c r="M37" s="1">
        <f t="shared" si="47"/>
        <v>-26224.209375301147</v>
      </c>
      <c r="N37" s="1">
        <f t="shared" si="47"/>
        <v>-30873.319210882422</v>
      </c>
      <c r="O37" s="1">
        <f t="shared" si="47"/>
        <v>-35777.773848160803</v>
      </c>
      <c r="P37" s="1">
        <f t="shared" si="47"/>
        <v>-40948.709776386087</v>
      </c>
      <c r="Q37" s="1">
        <f>-Q40*Q38</f>
        <v>-46397.701863841539</v>
      </c>
      <c r="R37" s="1">
        <f t="shared" ref="R37:U37" si="48">-R40*R38</f>
        <v>-50687.730731749318</v>
      </c>
      <c r="S37" s="1">
        <f t="shared" si="48"/>
        <v>-55193.4034000541</v>
      </c>
      <c r="T37" s="1">
        <f t="shared" si="48"/>
        <v>-59923.7974707986</v>
      </c>
      <c r="U37" s="1">
        <f t="shared" si="48"/>
        <v>-64888.341122727717</v>
      </c>
      <c r="X37" s="2">
        <v>-1390.723</v>
      </c>
      <c r="Y37" s="1">
        <f t="shared" ref="Y37:Y48" si="49">H37-X37</f>
        <v>-1728.9760000000001</v>
      </c>
      <c r="Z37" s="2">
        <v>-2202.7170000000001</v>
      </c>
      <c r="AA37" s="1">
        <f t="shared" ref="AA37:AA48" si="50">I37-Z37</f>
        <v>-2813.6039999999998</v>
      </c>
      <c r="AB37" s="2">
        <v>-3651.9189999999999</v>
      </c>
      <c r="AC37" s="1">
        <f t="shared" ref="AC37:AC48" si="51">J37-AB37</f>
        <v>-4340.6360000000004</v>
      </c>
      <c r="AD37" s="2">
        <v>-4074.0120000000002</v>
      </c>
      <c r="AE37" s="1">
        <f>K37-AD37</f>
        <v>-5602.4979999999996</v>
      </c>
    </row>
    <row r="38" spans="2:31" s="14" customFormat="1" hidden="1" outlineLevel="1">
      <c r="D38" s="14" t="s">
        <v>46</v>
      </c>
      <c r="I38" s="14">
        <v>69.055999999999997</v>
      </c>
      <c r="J38" s="14">
        <v>102.79300000000001</v>
      </c>
      <c r="K38" s="14">
        <f t="shared" ref="K38:U38" si="52">K288*K39/98%/1000</f>
        <v>165.5612244897959</v>
      </c>
      <c r="L38" s="14">
        <f t="shared" si="52"/>
        <v>233.90816326530611</v>
      </c>
      <c r="M38" s="14">
        <f t="shared" si="52"/>
        <v>289.01020408163265</v>
      </c>
      <c r="N38" s="14">
        <f t="shared" si="52"/>
        <v>330.33673469387759</v>
      </c>
      <c r="O38" s="14">
        <f t="shared" si="52"/>
        <v>371.66326530612247</v>
      </c>
      <c r="P38" s="14">
        <f t="shared" si="52"/>
        <v>412.98979591836735</v>
      </c>
      <c r="Q38" s="14">
        <f t="shared" si="52"/>
        <v>454.31632653061223</v>
      </c>
      <c r="R38" s="14">
        <f t="shared" si="52"/>
        <v>481.86734693877548</v>
      </c>
      <c r="S38" s="14">
        <f t="shared" si="52"/>
        <v>509.41836734693874</v>
      </c>
      <c r="T38" s="14">
        <f t="shared" si="52"/>
        <v>536.96938775510205</v>
      </c>
      <c r="U38" s="14">
        <f t="shared" si="52"/>
        <v>564.5204081632653</v>
      </c>
      <c r="AA38" s="14">
        <v>69.055999999999997</v>
      </c>
      <c r="AB38" s="14">
        <v>88.378</v>
      </c>
      <c r="AC38" s="14">
        <v>102.79300000000001</v>
      </c>
      <c r="AD38" s="14">
        <v>92.179000000000002</v>
      </c>
    </row>
    <row r="39" spans="2:31" s="14" customFormat="1" hidden="1" outlineLevel="1">
      <c r="D39" s="14" t="s">
        <v>47</v>
      </c>
      <c r="I39" s="14">
        <f>I38*1000*98%/I288</f>
        <v>145.2250643776824</v>
      </c>
      <c r="J39" s="14">
        <f>J38*1000*98%/J288</f>
        <v>131.16815104166668</v>
      </c>
      <c r="K39" s="3">
        <v>125</v>
      </c>
      <c r="L39" s="3">
        <v>135</v>
      </c>
      <c r="M39" s="3">
        <v>135</v>
      </c>
      <c r="N39" s="3">
        <v>135</v>
      </c>
      <c r="O39" s="3">
        <v>135</v>
      </c>
      <c r="P39" s="3">
        <v>135</v>
      </c>
      <c r="Q39" s="3">
        <v>135</v>
      </c>
      <c r="R39" s="3">
        <v>135</v>
      </c>
      <c r="S39" s="3">
        <v>135</v>
      </c>
      <c r="T39" s="3">
        <v>135</v>
      </c>
      <c r="U39" s="3">
        <v>135</v>
      </c>
      <c r="AA39" s="14">
        <f>AA38*1000*98%/AA288</f>
        <v>145.2250643776824</v>
      </c>
      <c r="AB39" s="14">
        <f>AB38*1000*98%/AB288</f>
        <v>146.05470489038785</v>
      </c>
      <c r="AC39" s="14">
        <f>AC38*1000*98%/AC288</f>
        <v>131.16815104166668</v>
      </c>
      <c r="AD39" s="14">
        <f>AD38*1000*98%/AD288</f>
        <v>96.61542245989304</v>
      </c>
    </row>
    <row r="40" spans="2:31" s="14" customFormat="1" hidden="1" outlineLevel="1">
      <c r="D40" s="14" t="s">
        <v>48</v>
      </c>
      <c r="I40" s="14">
        <f>-I37/I38</f>
        <v>72.641349050046344</v>
      </c>
      <c r="J40" s="14">
        <f>-J37/J38</f>
        <v>77.753884019339836</v>
      </c>
      <c r="K40" s="14">
        <f>J40*(1+K41)</f>
        <v>85.529272421273831</v>
      </c>
      <c r="L40" s="14">
        <f t="shared" ref="L40:U40" si="53">K40*(1+L41)</f>
        <v>88.095150593912052</v>
      </c>
      <c r="M40" s="14">
        <f t="shared" si="53"/>
        <v>90.738005111729422</v>
      </c>
      <c r="N40" s="14">
        <f t="shared" si="53"/>
        <v>93.460145265081309</v>
      </c>
      <c r="O40" s="14">
        <f t="shared" si="53"/>
        <v>96.263949623033753</v>
      </c>
      <c r="P40" s="14">
        <f t="shared" si="53"/>
        <v>99.151868111724767</v>
      </c>
      <c r="Q40" s="14">
        <f t="shared" si="53"/>
        <v>102.12642415507651</v>
      </c>
      <c r="R40" s="14">
        <f t="shared" si="53"/>
        <v>105.19021687972881</v>
      </c>
      <c r="S40" s="14">
        <f t="shared" si="53"/>
        <v>108.34592338612067</v>
      </c>
      <c r="T40" s="14">
        <f t="shared" si="53"/>
        <v>111.59630108770429</v>
      </c>
      <c r="U40" s="14">
        <f t="shared" si="53"/>
        <v>114.94419012033542</v>
      </c>
      <c r="AA40" s="14">
        <f>(-AA37-Z37)/AA38</f>
        <v>72.641349050046344</v>
      </c>
      <c r="AB40" s="14">
        <f t="shared" ref="AB40:AD40" si="54">(-AB37-AA37)/AB38</f>
        <v>73.15760709678878</v>
      </c>
      <c r="AC40" s="14">
        <f t="shared" si="54"/>
        <v>77.753884019339836</v>
      </c>
      <c r="AD40" s="14">
        <f t="shared" si="54"/>
        <v>91.285954501567616</v>
      </c>
    </row>
    <row r="41" spans="2:31" s="8" customFormat="1" hidden="1" outlineLevel="1">
      <c r="E41" s="8" t="s">
        <v>30</v>
      </c>
      <c r="J41" s="8">
        <f>J40/I40-1</f>
        <v>7.038050691722697E-2</v>
      </c>
      <c r="K41" s="9">
        <v>0.1</v>
      </c>
      <c r="L41" s="9">
        <v>0.03</v>
      </c>
      <c r="M41" s="9">
        <v>0.03</v>
      </c>
      <c r="N41" s="9">
        <v>0.03</v>
      </c>
      <c r="O41" s="9">
        <v>0.03</v>
      </c>
      <c r="P41" s="9">
        <v>0.03</v>
      </c>
      <c r="Q41" s="9">
        <v>0.03</v>
      </c>
      <c r="R41" s="9">
        <v>0.03</v>
      </c>
      <c r="S41" s="9">
        <v>0.03</v>
      </c>
      <c r="T41" s="9">
        <v>0.03</v>
      </c>
      <c r="U41" s="9">
        <v>0.03</v>
      </c>
    </row>
    <row r="42" spans="2:31" collapsed="1">
      <c r="C42" s="1" t="s">
        <v>49</v>
      </c>
      <c r="F42" s="2">
        <v>-269.48200000000003</v>
      </c>
      <c r="G42" s="2">
        <v>-298.36700000000002</v>
      </c>
      <c r="H42" s="2">
        <v>-414.86200000000002</v>
      </c>
      <c r="I42" s="2">
        <v>-684.91</v>
      </c>
      <c r="J42" s="2">
        <v>-240.23</v>
      </c>
      <c r="K42" s="2">
        <v>-235.96100000000001</v>
      </c>
      <c r="L42" s="1">
        <f t="shared" ref="L42:U42" si="55">L43*L321</f>
        <v>-424.5</v>
      </c>
      <c r="M42" s="1">
        <f t="shared" si="55"/>
        <v>-524.5</v>
      </c>
      <c r="N42" s="1">
        <f t="shared" si="55"/>
        <v>-599.5</v>
      </c>
      <c r="O42" s="1">
        <f t="shared" si="55"/>
        <v>-674.5</v>
      </c>
      <c r="P42" s="1">
        <f t="shared" si="55"/>
        <v>-749.5</v>
      </c>
      <c r="Q42" s="1">
        <f t="shared" si="55"/>
        <v>-824.5</v>
      </c>
      <c r="R42" s="1">
        <f t="shared" si="55"/>
        <v>-874.5</v>
      </c>
      <c r="S42" s="1">
        <f t="shared" si="55"/>
        <v>-924.5</v>
      </c>
      <c r="T42" s="1">
        <f t="shared" si="55"/>
        <v>-974.5</v>
      </c>
      <c r="U42" s="1">
        <f t="shared" si="55"/>
        <v>-1024.5</v>
      </c>
      <c r="X42" s="2">
        <v>-179.34700000000001</v>
      </c>
      <c r="Y42" s="1">
        <f t="shared" si="49"/>
        <v>-235.51500000000001</v>
      </c>
      <c r="Z42" s="2">
        <v>-272.30099999999999</v>
      </c>
      <c r="AA42" s="1">
        <f t="shared" si="50"/>
        <v>-412.60899999999998</v>
      </c>
      <c r="AB42" s="2">
        <v>-96.11</v>
      </c>
      <c r="AC42" s="1">
        <f t="shared" si="51"/>
        <v>-144.12</v>
      </c>
      <c r="AD42" s="2">
        <v>-88.149000000000001</v>
      </c>
      <c r="AE42" s="1">
        <f>K42-AD42</f>
        <v>-147.81200000000001</v>
      </c>
    </row>
    <row r="43" spans="2:31" s="10" customFormat="1" hidden="1" outlineLevel="1">
      <c r="D43" s="10" t="s">
        <v>50</v>
      </c>
      <c r="F43" s="15"/>
      <c r="G43" s="15"/>
      <c r="H43" s="15"/>
      <c r="I43" s="15"/>
      <c r="J43" s="15">
        <f>J42/J321</f>
        <v>-0.31279947916666667</v>
      </c>
      <c r="K43" s="16">
        <v>-0.2</v>
      </c>
      <c r="L43" s="16">
        <v>-0.25</v>
      </c>
      <c r="M43" s="16">
        <v>-0.25</v>
      </c>
      <c r="N43" s="16">
        <v>-0.25</v>
      </c>
      <c r="O43" s="16">
        <v>-0.25</v>
      </c>
      <c r="P43" s="16">
        <v>-0.25</v>
      </c>
      <c r="Q43" s="16">
        <v>-0.25</v>
      </c>
      <c r="R43" s="16">
        <v>-0.25</v>
      </c>
      <c r="S43" s="16">
        <v>-0.25</v>
      </c>
      <c r="T43" s="16">
        <v>-0.25</v>
      </c>
      <c r="U43" s="16">
        <v>-0.25</v>
      </c>
      <c r="AB43" s="15">
        <f>AB42/AB321</f>
        <v>-0.16207419898819561</v>
      </c>
      <c r="AC43" s="15">
        <f>AC42/AC321</f>
        <v>-0.18765625</v>
      </c>
      <c r="AD43" s="15">
        <f>AD42/AD321</f>
        <v>-9.427700534759359E-2</v>
      </c>
      <c r="AE43" s="15"/>
    </row>
    <row r="44" spans="2:31" collapsed="1">
      <c r="C44" s="1" t="s">
        <v>51</v>
      </c>
      <c r="F44" s="2">
        <v>-221.483</v>
      </c>
      <c r="G44" s="2">
        <v>-262.98500000000001</v>
      </c>
      <c r="H44" s="2">
        <v>-348.577</v>
      </c>
      <c r="I44" s="2">
        <v>-594.77200000000005</v>
      </c>
      <c r="J44" s="2">
        <v>-911.63499999999999</v>
      </c>
      <c r="K44" s="2">
        <v>-978.21199999999999</v>
      </c>
      <c r="L44" s="1">
        <f t="shared" ref="L44:U44" si="56">L53*L$5</f>
        <v>-2202.0836315618426</v>
      </c>
      <c r="M44" s="1">
        <f t="shared" si="56"/>
        <v>-2935.3663811767806</v>
      </c>
      <c r="N44" s="1">
        <f t="shared" si="56"/>
        <v>-3484.0231723360666</v>
      </c>
      <c r="O44" s="1">
        <f t="shared" si="56"/>
        <v>-4023.1156825225171</v>
      </c>
      <c r="P44" s="1">
        <f t="shared" si="56"/>
        <v>-4627.1293573606554</v>
      </c>
      <c r="Q44" s="1">
        <f t="shared" si="56"/>
        <v>-5329.1346098679414</v>
      </c>
      <c r="R44" s="1">
        <f t="shared" si="56"/>
        <v>-5997.8074112290351</v>
      </c>
      <c r="S44" s="1">
        <f t="shared" si="56"/>
        <v>-6644.3607014460476</v>
      </c>
      <c r="T44" s="1">
        <f t="shared" si="56"/>
        <v>-7301.7686622040519</v>
      </c>
      <c r="U44" s="1">
        <f t="shared" si="56"/>
        <v>-8026.813628810718</v>
      </c>
      <c r="X44" s="2">
        <v>-148.863</v>
      </c>
      <c r="Y44" s="1">
        <f t="shared" si="49"/>
        <v>-199.714</v>
      </c>
      <c r="Z44" s="2">
        <v>-254.63499999999999</v>
      </c>
      <c r="AA44" s="1">
        <f t="shared" si="50"/>
        <v>-340.13700000000006</v>
      </c>
      <c r="AB44" s="2">
        <v>-439.14600000000002</v>
      </c>
      <c r="AC44" s="1">
        <f t="shared" si="51"/>
        <v>-472.48899999999998</v>
      </c>
      <c r="AD44" s="2">
        <v>-359.97899999999998</v>
      </c>
      <c r="AE44" s="1">
        <f>K44-AD44</f>
        <v>-618.23299999999995</v>
      </c>
    </row>
    <row r="45" spans="2:31">
      <c r="C45" s="1" t="s">
        <v>52</v>
      </c>
      <c r="F45" s="2">
        <v>-239.179</v>
      </c>
      <c r="G45" s="2">
        <v>-285.91800000000001</v>
      </c>
      <c r="H45" s="2">
        <v>-359.839</v>
      </c>
      <c r="I45" s="2">
        <v>-689.32100000000003</v>
      </c>
      <c r="J45" s="2">
        <v>-1891.3240000000001</v>
      </c>
      <c r="K45" s="2">
        <v>-3033.6990000000001</v>
      </c>
      <c r="L45" s="1">
        <f t="shared" ref="L45:U45" si="57">-L238-L239-L240</f>
        <v>-5566.0931881570796</v>
      </c>
      <c r="M45" s="1">
        <f t="shared" si="57"/>
        <v>-7394.2469565021765</v>
      </c>
      <c r="N45" s="1">
        <f t="shared" si="57"/>
        <v>-9417.8175959088749</v>
      </c>
      <c r="O45" s="1">
        <f t="shared" si="57"/>
        <v>-11303.648420421416</v>
      </c>
      <c r="P45" s="1">
        <f t="shared" si="57"/>
        <v>-13317.560268398147</v>
      </c>
      <c r="Q45" s="1">
        <f t="shared" si="57"/>
        <v>-15482.872416614586</v>
      </c>
      <c r="R45" s="1">
        <f t="shared" si="57"/>
        <v>-17820.070040919065</v>
      </c>
      <c r="S45" s="1">
        <f t="shared" si="57"/>
        <v>-20007.921167825596</v>
      </c>
      <c r="T45" s="1">
        <f t="shared" si="57"/>
        <v>-22281.567815822738</v>
      </c>
      <c r="U45" s="1">
        <f t="shared" si="57"/>
        <v>-24677.171587067784</v>
      </c>
      <c r="X45" s="2">
        <v>-162.99700000000001</v>
      </c>
      <c r="Y45" s="1">
        <f t="shared" si="49"/>
        <v>-196.84199999999998</v>
      </c>
      <c r="Z45" s="2">
        <v>-293.57</v>
      </c>
      <c r="AA45" s="1">
        <f t="shared" si="50"/>
        <v>-395.75100000000003</v>
      </c>
      <c r="AB45" s="2">
        <v>-830.14400000000001</v>
      </c>
      <c r="AC45" s="1">
        <f t="shared" si="51"/>
        <v>-1061.18</v>
      </c>
      <c r="AD45" s="2">
        <v>-1296.99</v>
      </c>
      <c r="AE45" s="1">
        <f>K45-AD45</f>
        <v>-1736.7090000000001</v>
      </c>
    </row>
    <row r="46" spans="2:31">
      <c r="C46" s="1" t="s">
        <v>53</v>
      </c>
      <c r="F46" s="2">
        <v>-67.213999999999999</v>
      </c>
      <c r="G46" s="2">
        <v>-84.483000000000004</v>
      </c>
      <c r="H46" s="2">
        <v>-119.598</v>
      </c>
      <c r="I46" s="2">
        <v>-159.47</v>
      </c>
      <c r="J46" s="2">
        <v>-219.934</v>
      </c>
      <c r="K46" s="2">
        <v>-186.23</v>
      </c>
      <c r="L46" s="1">
        <f t="shared" ref="L46:U46" si="58">K46*(1+L47)</f>
        <v>-270.63799769930978</v>
      </c>
      <c r="M46" s="1">
        <f t="shared" si="58"/>
        <v>-338.29749712413724</v>
      </c>
      <c r="N46" s="1">
        <f t="shared" si="58"/>
        <v>-405.9569965489647</v>
      </c>
      <c r="O46" s="1">
        <f t="shared" si="58"/>
        <v>-466.85054603130936</v>
      </c>
      <c r="P46" s="1">
        <f t="shared" si="58"/>
        <v>-522.87261155506656</v>
      </c>
      <c r="Q46" s="1">
        <f t="shared" si="58"/>
        <v>-575.15987271057327</v>
      </c>
      <c r="R46" s="1">
        <f t="shared" si="58"/>
        <v>-621.17266252741922</v>
      </c>
      <c r="S46" s="1">
        <f t="shared" si="58"/>
        <v>-664.65474890433859</v>
      </c>
      <c r="T46" s="1">
        <f t="shared" si="58"/>
        <v>-704.53403383859893</v>
      </c>
      <c r="U46" s="1">
        <f t="shared" si="58"/>
        <v>-739.7607355305289</v>
      </c>
      <c r="X46" s="2">
        <v>-47.984999999999999</v>
      </c>
      <c r="Y46" s="1">
        <f t="shared" si="49"/>
        <v>-71.613</v>
      </c>
      <c r="Z46" s="2">
        <v>-72.387</v>
      </c>
      <c r="AA46" s="1">
        <f t="shared" si="50"/>
        <v>-87.082999999999998</v>
      </c>
      <c r="AB46" s="2">
        <v>-94.343000000000004</v>
      </c>
      <c r="AC46" s="1">
        <f t="shared" si="51"/>
        <v>-125.59099999999999</v>
      </c>
      <c r="AD46" s="2">
        <v>-79.144000000000005</v>
      </c>
      <c r="AE46" s="1">
        <f>K46-AD46</f>
        <v>-107.08599999999998</v>
      </c>
    </row>
    <row r="47" spans="2:31" s="8" customFormat="1">
      <c r="E47" s="8" t="s">
        <v>30</v>
      </c>
      <c r="H47" s="8">
        <f t="shared" ref="H47:I47" si="59">H46/G46-1</f>
        <v>0.41564575121622083</v>
      </c>
      <c r="I47" s="8">
        <f t="shared" si="59"/>
        <v>0.33338350139634443</v>
      </c>
      <c r="J47" s="8">
        <f>J46/I46-1</f>
        <v>0.37915595409794944</v>
      </c>
      <c r="K47" s="8">
        <f>K46/J46-1</f>
        <v>-0.15324597379213767</v>
      </c>
      <c r="L47" s="9">
        <f>-K47+30%</f>
        <v>0.45324597379213766</v>
      </c>
      <c r="M47" s="9">
        <v>0.25</v>
      </c>
      <c r="N47" s="9">
        <v>0.2</v>
      </c>
      <c r="O47" s="9">
        <v>0.15</v>
      </c>
      <c r="P47" s="9">
        <v>0.12</v>
      </c>
      <c r="Q47" s="9">
        <v>0.1</v>
      </c>
      <c r="R47" s="9">
        <v>0.08</v>
      </c>
      <c r="S47" s="9">
        <v>7.0000000000000007E-2</v>
      </c>
      <c r="T47" s="9">
        <v>0.06</v>
      </c>
      <c r="U47" s="9">
        <v>0.05</v>
      </c>
    </row>
    <row r="48" spans="2:31">
      <c r="C48" s="1" t="s">
        <v>54</v>
      </c>
      <c r="F48" s="2">
        <v>-268.113</v>
      </c>
      <c r="G48" s="2">
        <v>-372.42200000000003</v>
      </c>
      <c r="H48" s="2">
        <v>-444.99799999999999</v>
      </c>
      <c r="I48" s="2">
        <f>-85.54-660.533</f>
        <v>-746.07299999999998</v>
      </c>
      <c r="J48" s="2">
        <v>-1000.131</v>
      </c>
      <c r="K48" s="2">
        <v>-1252.2380000000001</v>
      </c>
      <c r="L48" s="1">
        <f t="shared" ref="L48:U48" si="60">L56*L$5</f>
        <v>-2245.1229066705787</v>
      </c>
      <c r="M48" s="1">
        <f t="shared" si="60"/>
        <v>-2992.7375179554497</v>
      </c>
      <c r="N48" s="1">
        <f t="shared" si="60"/>
        <v>-3552.1176941108961</v>
      </c>
      <c r="O48" s="1">
        <f t="shared" si="60"/>
        <v>-4101.7466573740703</v>
      </c>
      <c r="P48" s="1">
        <f t="shared" si="60"/>
        <v>-4717.5656562009081</v>
      </c>
      <c r="Q48" s="1">
        <f t="shared" si="60"/>
        <v>-5433.2914580812476</v>
      </c>
      <c r="R48" s="1">
        <f t="shared" si="60"/>
        <v>-6115.0333328612724</v>
      </c>
      <c r="S48" s="1">
        <f t="shared" si="60"/>
        <v>-6774.2233751667482</v>
      </c>
      <c r="T48" s="1">
        <f t="shared" si="60"/>
        <v>-7444.4802403333779</v>
      </c>
      <c r="U48" s="1">
        <f t="shared" si="60"/>
        <v>-8183.6960628225052</v>
      </c>
      <c r="X48" s="2">
        <v>-160.93299999999999</v>
      </c>
      <c r="Y48" s="1">
        <f t="shared" si="49"/>
        <v>-284.065</v>
      </c>
      <c r="Z48" s="2">
        <f>-20.659-301.373</f>
        <v>-322.03199999999998</v>
      </c>
      <c r="AA48" s="1">
        <f t="shared" si="50"/>
        <v>-424.041</v>
      </c>
      <c r="AB48" s="2">
        <v>-461.57</v>
      </c>
      <c r="AC48" s="1">
        <f t="shared" si="51"/>
        <v>-538.56099999999992</v>
      </c>
      <c r="AD48" s="2">
        <v>-510.78</v>
      </c>
      <c r="AE48" s="1">
        <f>K48-AD48</f>
        <v>-741.45800000000008</v>
      </c>
    </row>
    <row r="50" spans="2:31" s="10" customFormat="1" ht="19">
      <c r="C50" s="11" t="s">
        <v>55</v>
      </c>
    </row>
    <row r="51" spans="2:31" s="10" customFormat="1">
      <c r="C51" s="10" t="s">
        <v>56</v>
      </c>
      <c r="F51" s="12">
        <f>F37/F$5</f>
        <v>-0.27305260217604516</v>
      </c>
      <c r="G51" s="12">
        <f>G37/G$5</f>
        <v>-0.26183071399131574</v>
      </c>
      <c r="H51" s="12">
        <f>H37/H$5</f>
        <v>-0.29328279984243932</v>
      </c>
      <c r="I51" s="12">
        <f>I37/I$5</f>
        <v>-0.29561502967157954</v>
      </c>
      <c r="J51" s="12">
        <f>J37/J$5</f>
        <v>-0.3009721946910866</v>
      </c>
      <c r="K51" s="12">
        <f t="shared" ref="K51:U51" si="61">K37/K$5</f>
        <v>-0.33817095709813166</v>
      </c>
      <c r="L51" s="12">
        <f t="shared" si="61"/>
        <v>-0.32123680990348119</v>
      </c>
      <c r="M51" s="12">
        <f t="shared" si="61"/>
        <v>-0.3066915566863968</v>
      </c>
      <c r="N51" s="12">
        <f t="shared" si="61"/>
        <v>-0.30420336977357765</v>
      </c>
      <c r="O51" s="12">
        <f t="shared" si="61"/>
        <v>-0.30528996285872473</v>
      </c>
      <c r="P51" s="12">
        <f t="shared" si="61"/>
        <v>-0.30380177969323363</v>
      </c>
      <c r="Q51" s="12">
        <f t="shared" si="61"/>
        <v>-0.29888320510012489</v>
      </c>
      <c r="R51" s="12">
        <f t="shared" si="61"/>
        <v>-0.2901162559617847</v>
      </c>
      <c r="S51" s="12">
        <f t="shared" si="61"/>
        <v>-0.28516466198670976</v>
      </c>
      <c r="T51" s="12">
        <f t="shared" si="61"/>
        <v>-0.28172993194539375</v>
      </c>
      <c r="U51" s="12">
        <f t="shared" si="61"/>
        <v>-0.27751420896638057</v>
      </c>
      <c r="X51" s="12">
        <f t="shared" ref="X51:AC51" si="62">X37/X$5</f>
        <v>-0.29241042752779872</v>
      </c>
      <c r="Y51" s="12">
        <f t="shared" si="62"/>
        <v>-0.29398828961564194</v>
      </c>
      <c r="Z51" s="12">
        <f t="shared" si="62"/>
        <v>-0.29998962226685649</v>
      </c>
      <c r="AA51" s="12">
        <f t="shared" si="62"/>
        <v>-0.29227827977398957</v>
      </c>
      <c r="AB51" s="12">
        <f t="shared" si="62"/>
        <v>-0.31227326123982074</v>
      </c>
      <c r="AC51" s="12">
        <f t="shared" si="62"/>
        <v>-0.29207910065737774</v>
      </c>
      <c r="AD51" s="12">
        <f>AD37/AD$5</f>
        <v>-0.41739338903684764</v>
      </c>
      <c r="AE51" s="12">
        <f>AE37/AE$5</f>
        <v>-0.29715720828592868</v>
      </c>
    </row>
    <row r="52" spans="2:31" s="10" customFormat="1">
      <c r="C52" s="10" t="s">
        <v>57</v>
      </c>
      <c r="F52" s="12">
        <f t="shared" ref="F52:U52" si="63">(F42+F258)/F$5</f>
        <v>-4.6812035127179172E-2</v>
      </c>
      <c r="G52" s="12">
        <f t="shared" si="63"/>
        <v>-3.8214523483654443E-2</v>
      </c>
      <c r="H52" s="12">
        <f t="shared" si="63"/>
        <v>-3.900116290329101E-2</v>
      </c>
      <c r="I52" s="12">
        <f t="shared" si="63"/>
        <v>-4.0362187741247328E-2</v>
      </c>
      <c r="J52" s="12">
        <f t="shared" si="63"/>
        <v>-3.5370212268570261E-2</v>
      </c>
      <c r="K52" s="12">
        <f t="shared" si="63"/>
        <v>-3.9303355337221763E-2</v>
      </c>
      <c r="L52" s="12">
        <f t="shared" si="63"/>
        <v>-2.8653554853423455E-2</v>
      </c>
      <c r="M52" s="12">
        <f t="shared" si="63"/>
        <v>-2.3946763240099807E-2</v>
      </c>
      <c r="N52" s="12">
        <f t="shared" si="63"/>
        <v>-2.1792711777110063E-2</v>
      </c>
      <c r="O52" s="12">
        <f t="shared" si="63"/>
        <v>-1.9333552263692544E-2</v>
      </c>
      <c r="P52" s="12">
        <f t="shared" si="63"/>
        <v>-1.7239724926421621E-2</v>
      </c>
      <c r="Q52" s="12">
        <f t="shared" si="63"/>
        <v>-1.5362557580919063E-2</v>
      </c>
      <c r="R52" s="12">
        <f t="shared" si="63"/>
        <v>-1.3871494478127121E-2</v>
      </c>
      <c r="S52" s="12">
        <f t="shared" si="63"/>
        <v>-1.2249926385171925E-2</v>
      </c>
      <c r="T52" s="12">
        <f t="shared" si="63"/>
        <v>-1.0989863499311581E-2</v>
      </c>
      <c r="U52" s="12">
        <f t="shared" si="63"/>
        <v>-9.9208866053755573E-3</v>
      </c>
      <c r="X52" s="12">
        <f t="shared" ref="X52:AE52" si="64">(X42+X258)/X$5</f>
        <v>-3.7709114572656181E-2</v>
      </c>
      <c r="Y52" s="12">
        <f t="shared" si="64"/>
        <v>-4.004604576860981E-2</v>
      </c>
      <c r="Z52" s="12">
        <f t="shared" si="64"/>
        <v>-3.708487024564993E-2</v>
      </c>
      <c r="AA52" s="12">
        <f t="shared" si="64"/>
        <v>-4.2861983683299444E-2</v>
      </c>
      <c r="AB52" s="12">
        <f t="shared" si="64"/>
        <v>-3.0815179553411971E-2</v>
      </c>
      <c r="AC52" s="12">
        <f t="shared" si="64"/>
        <v>-3.8954682290743538E-2</v>
      </c>
      <c r="AD52" s="12">
        <f t="shared" si="64"/>
        <v>-4.1666884378581043E-2</v>
      </c>
      <c r="AE52" s="12">
        <f t="shared" si="64"/>
        <v>-7.8399673272814552E-3</v>
      </c>
    </row>
    <row r="53" spans="2:31" s="10" customFormat="1">
      <c r="C53" s="10" t="s">
        <v>58</v>
      </c>
      <c r="F53" s="12">
        <f t="shared" ref="F53:I53" si="65">F44/F$5</f>
        <v>-3.8474072391005795E-2</v>
      </c>
      <c r="G53" s="12">
        <f t="shared" si="65"/>
        <v>-3.3682835093521948E-2</v>
      </c>
      <c r="H53" s="12">
        <f t="shared" si="65"/>
        <v>-3.2769712244892203E-2</v>
      </c>
      <c r="I53" s="12">
        <f t="shared" si="65"/>
        <v>-3.5050297305101633E-2</v>
      </c>
      <c r="J53" s="12">
        <f>J44/J$5</f>
        <v>-3.4329045806654905E-2</v>
      </c>
      <c r="K53" s="17">
        <f>J53</f>
        <v>-3.4329045806654905E-2</v>
      </c>
      <c r="L53" s="17">
        <f t="shared" ref="L53:U53" si="66">K53</f>
        <v>-3.4329045806654905E-2</v>
      </c>
      <c r="M53" s="17">
        <f t="shared" si="66"/>
        <v>-3.4329045806654905E-2</v>
      </c>
      <c r="N53" s="17">
        <f t="shared" si="66"/>
        <v>-3.4329045806654905E-2</v>
      </c>
      <c r="O53" s="17">
        <f t="shared" si="66"/>
        <v>-3.4329045806654905E-2</v>
      </c>
      <c r="P53" s="17">
        <f t="shared" si="66"/>
        <v>-3.4329045806654905E-2</v>
      </c>
      <c r="Q53" s="17">
        <f t="shared" si="66"/>
        <v>-3.4329045806654905E-2</v>
      </c>
      <c r="R53" s="17">
        <f t="shared" si="66"/>
        <v>-3.4329045806654905E-2</v>
      </c>
      <c r="S53" s="17">
        <f t="shared" si="66"/>
        <v>-3.4329045806654905E-2</v>
      </c>
      <c r="T53" s="17">
        <f t="shared" si="66"/>
        <v>-3.4329045806654905E-2</v>
      </c>
      <c r="U53" s="17">
        <f t="shared" si="66"/>
        <v>-3.4329045806654905E-2</v>
      </c>
      <c r="X53" s="12">
        <f t="shared" ref="X53:AC53" si="67">X44/X$5</f>
        <v>-3.1299614281974704E-2</v>
      </c>
      <c r="Y53" s="12">
        <f t="shared" si="67"/>
        <v>-3.3958584313662138E-2</v>
      </c>
      <c r="Z53" s="12">
        <f t="shared" si="67"/>
        <v>-3.4678924921322615E-2</v>
      </c>
      <c r="AA53" s="12">
        <f t="shared" si="67"/>
        <v>-3.5333564086305502E-2</v>
      </c>
      <c r="AB53" s="12">
        <f t="shared" si="67"/>
        <v>-3.7551093981115773E-2</v>
      </c>
      <c r="AC53" s="12">
        <f t="shared" si="67"/>
        <v>-3.1793534908364521E-2</v>
      </c>
      <c r="AD53" s="12">
        <f>AD44/AD$5</f>
        <v>-3.6880808105645091E-2</v>
      </c>
      <c r="AE53" s="12">
        <f>AE44/AE$5</f>
        <v>-3.2791157149941783E-2</v>
      </c>
    </row>
    <row r="54" spans="2:31" s="10" customFormat="1">
      <c r="C54" s="10" t="s">
        <v>59</v>
      </c>
      <c r="F54" s="12">
        <f t="shared" ref="F54:U54" si="68">(F45+F240)/F$5</f>
        <v>-4.1548065361261925E-2</v>
      </c>
      <c r="G54" s="12">
        <f t="shared" si="68"/>
        <v>-3.662006899355328E-2</v>
      </c>
      <c r="H54" s="12">
        <f t="shared" si="68"/>
        <v>-3.3828452492533259E-2</v>
      </c>
      <c r="I54" s="12">
        <f t="shared" si="68"/>
        <v>-4.062213081424472E-2</v>
      </c>
      <c r="J54" s="12">
        <f t="shared" si="68"/>
        <v>-4.7194073518876785E-2</v>
      </c>
      <c r="K54" s="12">
        <f t="shared" si="68"/>
        <v>-7.4963467265708128E-2</v>
      </c>
      <c r="L54" s="12">
        <f t="shared" si="68"/>
        <v>-6.4735880959883779E-2</v>
      </c>
      <c r="M54" s="12">
        <f t="shared" si="68"/>
        <v>-6.8662809705983721E-2</v>
      </c>
      <c r="N54" s="12">
        <f t="shared" si="68"/>
        <v>-7.6910694486169245E-2</v>
      </c>
      <c r="O54" s="12">
        <f t="shared" si="68"/>
        <v>-8.2875391811645133E-2</v>
      </c>
      <c r="P54" s="12">
        <f t="shared" si="68"/>
        <v>-8.7124929489522676E-2</v>
      </c>
      <c r="Q54" s="12">
        <f t="shared" si="68"/>
        <v>-8.9685743064279941E-2</v>
      </c>
      <c r="R54" s="12">
        <f t="shared" si="68"/>
        <v>-9.3128731982782542E-2</v>
      </c>
      <c r="S54" s="12">
        <f t="shared" si="68"/>
        <v>-9.5900440129109449E-2</v>
      </c>
      <c r="T54" s="12">
        <f t="shared" si="68"/>
        <v>-9.834784004429338E-2</v>
      </c>
      <c r="U54" s="12">
        <f t="shared" si="68"/>
        <v>-9.9999924070127533E-2</v>
      </c>
      <c r="X54" s="12">
        <f t="shared" ref="X54:AE54" si="69">(X45+X240)/X$5</f>
        <v>-3.4271398729832335E-2</v>
      </c>
      <c r="Y54" s="12">
        <f t="shared" si="69"/>
        <v>-3.3470240711566956E-2</v>
      </c>
      <c r="Z54" s="12">
        <f t="shared" si="69"/>
        <v>-3.9981510747354766E-2</v>
      </c>
      <c r="AA54" s="12">
        <f t="shared" si="69"/>
        <v>-4.1110768074980042E-2</v>
      </c>
      <c r="AB54" s="12">
        <f t="shared" si="69"/>
        <v>-4.6377455764724754E-2</v>
      </c>
      <c r="AC54" s="12">
        <f t="shared" si="69"/>
        <v>-4.7836690606914693E-2</v>
      </c>
      <c r="AD54" s="12">
        <f t="shared" si="69"/>
        <v>-9.3207849308521343E-2</v>
      </c>
      <c r="AE54" s="12">
        <f t="shared" si="69"/>
        <v>-9.211526680510139E-2</v>
      </c>
    </row>
    <row r="55" spans="2:31" s="10" customFormat="1">
      <c r="C55" s="10" t="s">
        <v>60</v>
      </c>
      <c r="F55" s="12">
        <f>F46/F$5</f>
        <v>-1.1675822982752913E-2</v>
      </c>
      <c r="G55" s="12">
        <f>G46/G$5</f>
        <v>-1.0820491500298552E-2</v>
      </c>
      <c r="H55" s="12">
        <f>H46/H$5</f>
        <v>-1.1243404025694804E-2</v>
      </c>
      <c r="I55" s="12">
        <f>I46/I$5</f>
        <v>-9.3976698823155028E-3</v>
      </c>
      <c r="J55" s="12">
        <f>J46/J$5</f>
        <v>-8.2819597321744341E-3</v>
      </c>
      <c r="K55" s="12">
        <f t="shared" ref="K55:U55" si="70">K46/K$5</f>
        <v>-6.5082945545847683E-3</v>
      </c>
      <c r="L55" s="12">
        <f t="shared" si="70"/>
        <v>-4.2190696515242918E-3</v>
      </c>
      <c r="M55" s="12">
        <f t="shared" si="70"/>
        <v>-3.9563818504984782E-3</v>
      </c>
      <c r="N55" s="12">
        <f t="shared" si="70"/>
        <v>-4.0000067854649695E-3</v>
      </c>
      <c r="O55" s="12">
        <f t="shared" si="70"/>
        <v>-3.9836124646363495E-3</v>
      </c>
      <c r="P55" s="12">
        <f t="shared" si="70"/>
        <v>-3.8792340664877785E-3</v>
      </c>
      <c r="Q55" s="12">
        <f t="shared" si="70"/>
        <v>-3.7050461401124859E-3</v>
      </c>
      <c r="R55" s="12">
        <f t="shared" si="70"/>
        <v>-3.5553433652808671E-3</v>
      </c>
      <c r="S55" s="12">
        <f t="shared" si="70"/>
        <v>-3.4340344159494497E-3</v>
      </c>
      <c r="T55" s="12">
        <f t="shared" si="70"/>
        <v>-3.312345575283131E-3</v>
      </c>
      <c r="U55" s="12">
        <f t="shared" si="70"/>
        <v>-3.1638058824289541E-3</v>
      </c>
      <c r="X55" s="12">
        <f t="shared" ref="X55:AE55" si="71">X46/X$5</f>
        <v>-1.0089222918526135E-2</v>
      </c>
      <c r="Y55" s="12">
        <f t="shared" si="71"/>
        <v>-1.2176793306700016E-2</v>
      </c>
      <c r="Z55" s="12">
        <f t="shared" si="71"/>
        <v>-9.8584379141900373E-3</v>
      </c>
      <c r="AA55" s="12">
        <f t="shared" si="71"/>
        <v>-9.0462159698231643E-3</v>
      </c>
      <c r="AB55" s="12">
        <f t="shared" si="71"/>
        <v>-8.0672096739134707E-3</v>
      </c>
      <c r="AC55" s="12">
        <f t="shared" si="71"/>
        <v>-8.4509519643344265E-3</v>
      </c>
      <c r="AD55" s="12">
        <f t="shared" si="71"/>
        <v>-8.1085137652840179E-3</v>
      </c>
      <c r="AE55" s="12">
        <f t="shared" si="71"/>
        <v>-5.6798550943716452E-3</v>
      </c>
    </row>
    <row r="56" spans="2:31" s="10" customFormat="1">
      <c r="C56" s="10" t="s">
        <v>61</v>
      </c>
      <c r="F56" s="12">
        <f t="shared" ref="F56:J56" si="72">F48/F$5</f>
        <v>-4.6574224527253724E-2</v>
      </c>
      <c r="G56" s="12">
        <f t="shared" si="72"/>
        <v>-4.7699407993610402E-2</v>
      </c>
      <c r="H56" s="12">
        <f t="shared" si="72"/>
        <v>-4.1834247266895233E-2</v>
      </c>
      <c r="I56" s="12">
        <f t="shared" si="72"/>
        <v>-4.3966562752296823E-2</v>
      </c>
      <c r="J56" s="12">
        <f t="shared" si="72"/>
        <v>-3.7661501490898856E-2</v>
      </c>
      <c r="K56" s="17">
        <v>-3.5000000000000003E-2</v>
      </c>
      <c r="L56" s="17">
        <f t="shared" ref="L56:U56" si="73">K56</f>
        <v>-3.5000000000000003E-2</v>
      </c>
      <c r="M56" s="17">
        <f t="shared" si="73"/>
        <v>-3.5000000000000003E-2</v>
      </c>
      <c r="N56" s="17">
        <f t="shared" si="73"/>
        <v>-3.5000000000000003E-2</v>
      </c>
      <c r="O56" s="17">
        <f t="shared" si="73"/>
        <v>-3.5000000000000003E-2</v>
      </c>
      <c r="P56" s="17">
        <f t="shared" si="73"/>
        <v>-3.5000000000000003E-2</v>
      </c>
      <c r="Q56" s="17">
        <f t="shared" si="73"/>
        <v>-3.5000000000000003E-2</v>
      </c>
      <c r="R56" s="17">
        <f t="shared" si="73"/>
        <v>-3.5000000000000003E-2</v>
      </c>
      <c r="S56" s="17">
        <f t="shared" si="73"/>
        <v>-3.5000000000000003E-2</v>
      </c>
      <c r="T56" s="17">
        <f t="shared" si="73"/>
        <v>-3.5000000000000003E-2</v>
      </c>
      <c r="U56" s="17">
        <f t="shared" si="73"/>
        <v>-3.5000000000000003E-2</v>
      </c>
      <c r="X56" s="12">
        <f t="shared" ref="X56:AE56" si="74">X48/X$5</f>
        <v>-3.3837426528022643E-2</v>
      </c>
      <c r="Y56" s="12">
        <f t="shared" si="74"/>
        <v>-4.8301297120184043E-2</v>
      </c>
      <c r="Z56" s="12">
        <f t="shared" si="74"/>
        <v>-4.3857771124406954E-2</v>
      </c>
      <c r="AA56" s="12">
        <f t="shared" si="74"/>
        <v>-4.4049544297506793E-2</v>
      </c>
      <c r="AB56" s="12">
        <f t="shared" si="74"/>
        <v>-3.9468555899094163E-2</v>
      </c>
      <c r="AC56" s="12">
        <f t="shared" si="74"/>
        <v>-3.6239484842575602E-2</v>
      </c>
      <c r="AD56" s="12">
        <f t="shared" si="74"/>
        <v>-5.2330772528956966E-2</v>
      </c>
      <c r="AE56" s="12">
        <f t="shared" si="74"/>
        <v>-3.9327026862172577E-2</v>
      </c>
    </row>
    <row r="59" spans="2:31" s="6" customFormat="1">
      <c r="B59" s="6" t="s">
        <v>62</v>
      </c>
      <c r="F59" s="6">
        <f t="shared" ref="F59:U59" si="75">F62+F238+F239+F240+F258</f>
        <v>758.77300000000002</v>
      </c>
      <c r="G59" s="6">
        <f t="shared" si="75"/>
        <v>1565.8559999999991</v>
      </c>
      <c r="H59" s="6">
        <f t="shared" si="75"/>
        <v>1876.206000000001</v>
      </c>
      <c r="I59" s="6">
        <f t="shared" si="75"/>
        <v>2832.5209999999993</v>
      </c>
      <c r="J59" s="6">
        <f t="shared" si="75"/>
        <v>4253.2610000000013</v>
      </c>
      <c r="K59" s="6">
        <f t="shared" si="75"/>
        <v>3404.1153672081937</v>
      </c>
      <c r="L59" s="6">
        <f t="shared" si="75"/>
        <v>9401.3892944448125</v>
      </c>
      <c r="M59" s="6">
        <f t="shared" si="75"/>
        <v>15055.714475068695</v>
      </c>
      <c r="N59" s="6">
        <f t="shared" si="75"/>
        <v>18843.970753228568</v>
      </c>
      <c r="O59" s="6">
        <f t="shared" si="75"/>
        <v>22508.49025099511</v>
      </c>
      <c r="P59" s="6">
        <f t="shared" si="75"/>
        <v>27058.637775763065</v>
      </c>
      <c r="Q59" s="6">
        <f t="shared" si="75"/>
        <v>33022.015680357545</v>
      </c>
      <c r="R59" s="6">
        <f t="shared" si="75"/>
        <v>38983.83725038766</v>
      </c>
      <c r="S59" s="6">
        <f t="shared" si="75"/>
        <v>44481.937415501459</v>
      </c>
      <c r="T59" s="6">
        <f t="shared" si="75"/>
        <v>49907.543093837943</v>
      </c>
      <c r="U59" s="6">
        <f t="shared" si="75"/>
        <v>56133.620365576586</v>
      </c>
    </row>
    <row r="60" spans="2:31" s="8" customFormat="1">
      <c r="B60" s="8" t="s">
        <v>63</v>
      </c>
      <c r="F60" s="8">
        <f t="shared" ref="F60:H60" si="76">F59/F$5</f>
        <v>0.13180735013676281</v>
      </c>
      <c r="G60" s="8">
        <f t="shared" si="76"/>
        <v>0.20055314724490703</v>
      </c>
      <c r="H60" s="8">
        <f t="shared" si="76"/>
        <v>0.17638206402642817</v>
      </c>
      <c r="I60" s="8">
        <f>I59/I$5</f>
        <v>0.16692228815906557</v>
      </c>
      <c r="J60" s="8">
        <f>J59/J$5</f>
        <v>0.1601632141116334</v>
      </c>
      <c r="K60" s="8">
        <f t="shared" ref="K60:U60" si="77">K59/K$5</f>
        <v>0.11896571716468569</v>
      </c>
      <c r="L60" s="8">
        <f t="shared" si="77"/>
        <v>0.14656151978491613</v>
      </c>
      <c r="M60" s="8">
        <f t="shared" si="77"/>
        <v>0.17607625241634994</v>
      </c>
      <c r="N60" s="8">
        <f t="shared" si="77"/>
        <v>0.18567486585719234</v>
      </c>
      <c r="O60" s="8">
        <f t="shared" si="77"/>
        <v>0.19206382660629143</v>
      </c>
      <c r="P60" s="8">
        <f t="shared" si="77"/>
        <v>0.20075021550720207</v>
      </c>
      <c r="Q60" s="8">
        <f t="shared" si="77"/>
        <v>0.21272014537218872</v>
      </c>
      <c r="R60" s="8">
        <f t="shared" si="77"/>
        <v>0.22312786038815238</v>
      </c>
      <c r="S60" s="8">
        <f t="shared" si="77"/>
        <v>0.22982233140551389</v>
      </c>
      <c r="T60" s="8">
        <f t="shared" si="77"/>
        <v>0.23463881317335658</v>
      </c>
      <c r="U60" s="8">
        <f t="shared" si="77"/>
        <v>0.24007205273916002</v>
      </c>
    </row>
    <row r="62" spans="2:31" s="6" customFormat="1">
      <c r="B62" s="6" t="s">
        <v>64</v>
      </c>
      <c r="F62" s="6">
        <f>F32+F35</f>
        <v>519.59400000000005</v>
      </c>
      <c r="G62" s="6">
        <f t="shared" ref="G62:U62" si="78">G32+G35</f>
        <v>1279.9379999999992</v>
      </c>
      <c r="H62" s="6">
        <f t="shared" si="78"/>
        <v>1516.3670000000011</v>
      </c>
      <c r="I62" s="6">
        <f t="shared" si="78"/>
        <v>2143.1999999999989</v>
      </c>
      <c r="J62" s="6">
        <f t="shared" si="78"/>
        <v>3060.9910000000018</v>
      </c>
      <c r="K62" s="6">
        <f t="shared" si="78"/>
        <v>989.94000000000233</v>
      </c>
      <c r="L62" s="6">
        <f t="shared" si="78"/>
        <v>5248.8176022581029</v>
      </c>
      <c r="M62" s="6">
        <f t="shared" si="78"/>
        <v>9184.578283773466</v>
      </c>
      <c r="N62" s="6">
        <f t="shared" si="78"/>
        <v>11038.375360352024</v>
      </c>
      <c r="O62" s="6">
        <f t="shared" si="78"/>
        <v>12796.094212652773</v>
      </c>
      <c r="P62" s="6">
        <f t="shared" si="78"/>
        <v>15315.278485514558</v>
      </c>
      <c r="Q62" s="6">
        <f t="shared" si="78"/>
        <v>19099.479060276921</v>
      </c>
      <c r="R62" s="6">
        <f t="shared" si="78"/>
        <v>22712.828669764262</v>
      </c>
      <c r="S62" s="6">
        <f t="shared" si="78"/>
        <v>25920.480180890256</v>
      </c>
      <c r="T62" s="6">
        <f t="shared" si="78"/>
        <v>28989.013039860525</v>
      </c>
      <c r="U62" s="6">
        <f t="shared" si="78"/>
        <v>32751.649368569386</v>
      </c>
      <c r="X62" s="6">
        <f t="shared" ref="X62:AE62" si="79">X32+X35</f>
        <v>716.03499999999985</v>
      </c>
      <c r="Y62" s="6">
        <f t="shared" si="79"/>
        <v>800.33200000000033</v>
      </c>
      <c r="Z62" s="6">
        <f t="shared" si="79"/>
        <v>858.67499999999927</v>
      </c>
      <c r="AA62" s="6">
        <f t="shared" si="79"/>
        <v>1284.5249999999978</v>
      </c>
      <c r="AB62" s="6">
        <f t="shared" si="79"/>
        <v>1218.8110000000006</v>
      </c>
      <c r="AC62" s="6">
        <f t="shared" si="79"/>
        <v>1842.1800000000012</v>
      </c>
      <c r="AD62" s="6">
        <f t="shared" si="79"/>
        <v>-996.63300000000072</v>
      </c>
      <c r="AE62" s="6">
        <f t="shared" si="79"/>
        <v>1986.5730000000021</v>
      </c>
    </row>
    <row r="63" spans="2:31" s="8" customFormat="1">
      <c r="B63" s="8" t="s">
        <v>65</v>
      </c>
      <c r="F63" s="8">
        <f t="shared" ref="F63:I63" si="80">F62/F$5</f>
        <v>9.0259284775500895E-2</v>
      </c>
      <c r="G63" s="8">
        <f t="shared" si="80"/>
        <v>0.16393307825135375</v>
      </c>
      <c r="H63" s="8">
        <f t="shared" si="80"/>
        <v>0.14255361153389493</v>
      </c>
      <c r="I63" s="8">
        <f t="shared" si="80"/>
        <v>0.12630015734482083</v>
      </c>
      <c r="J63" s="8">
        <f>J62/J$5</f>
        <v>0.11526641720947362</v>
      </c>
      <c r="K63" s="8">
        <f t="shared" ref="K63:U63" si="81">K62/K$5</f>
        <v>3.4596043126057352E-2</v>
      </c>
      <c r="L63" s="8">
        <f t="shared" si="81"/>
        <v>8.1825638825032368E-2</v>
      </c>
      <c r="M63" s="8">
        <f t="shared" si="81"/>
        <v>0.10741344271036624</v>
      </c>
      <c r="N63" s="8">
        <f t="shared" si="81"/>
        <v>0.10876417137102309</v>
      </c>
      <c r="O63" s="8">
        <f t="shared" si="81"/>
        <v>0.10918843479464629</v>
      </c>
      <c r="P63" s="8">
        <f t="shared" si="81"/>
        <v>0.11362528601767941</v>
      </c>
      <c r="Q63" s="8">
        <f t="shared" si="81"/>
        <v>0.12303440230790874</v>
      </c>
      <c r="R63" s="8">
        <f t="shared" si="81"/>
        <v>0.12999912840536984</v>
      </c>
      <c r="S63" s="8">
        <f t="shared" si="81"/>
        <v>0.13392189127640447</v>
      </c>
      <c r="T63" s="8">
        <f t="shared" si="81"/>
        <v>0.13629097312906321</v>
      </c>
      <c r="U63" s="8">
        <f t="shared" si="81"/>
        <v>0.14007212866903251</v>
      </c>
      <c r="X63" s="8">
        <f>X62/X$5</f>
        <v>0.15055197941996165</v>
      </c>
      <c r="Y63" s="8">
        <f t="shared" ref="Y63:AE63" si="82">Y62/Y$5</f>
        <v>0.13608531049862232</v>
      </c>
      <c r="Z63" s="8">
        <f t="shared" si="82"/>
        <v>0.11694356964602931</v>
      </c>
      <c r="AA63" s="8">
        <f t="shared" si="82"/>
        <v>0.13343695748466497</v>
      </c>
      <c r="AB63" s="8">
        <f t="shared" si="82"/>
        <v>0.10421975016558893</v>
      </c>
      <c r="AC63" s="8">
        <f t="shared" si="82"/>
        <v>0.12395931786240737</v>
      </c>
      <c r="AD63" s="8">
        <f t="shared" si="82"/>
        <v>-0.10210770746280592</v>
      </c>
      <c r="AE63" s="8">
        <f t="shared" si="82"/>
        <v>0.10536808522487699</v>
      </c>
    </row>
    <row r="65" spans="2:31">
      <c r="B65" s="1" t="s">
        <v>66</v>
      </c>
      <c r="F65" s="2">
        <v>35.662999999999997</v>
      </c>
      <c r="G65" s="2">
        <v>62.094000000000001</v>
      </c>
      <c r="H65" s="2">
        <v>90.753</v>
      </c>
      <c r="I65" s="2">
        <v>104.318</v>
      </c>
      <c r="J65" s="2">
        <v>262.70100000000002</v>
      </c>
      <c r="K65" s="2">
        <v>360.86700000000002</v>
      </c>
      <c r="L65" s="1">
        <f t="shared" ref="L65:U65" si="83">L69*L5</f>
        <v>128.29273752403307</v>
      </c>
      <c r="M65" s="1">
        <f t="shared" si="83"/>
        <v>171.0135724545971</v>
      </c>
      <c r="N65" s="1">
        <f t="shared" si="83"/>
        <v>202.97815394919405</v>
      </c>
      <c r="O65" s="1">
        <f t="shared" si="83"/>
        <v>234.38552327851829</v>
      </c>
      <c r="P65" s="1">
        <f t="shared" si="83"/>
        <v>269.57518035433759</v>
      </c>
      <c r="Q65" s="1">
        <f t="shared" si="83"/>
        <v>310.4737976046427</v>
      </c>
      <c r="R65" s="1">
        <f t="shared" si="83"/>
        <v>349.43047616350128</v>
      </c>
      <c r="S65" s="1">
        <f t="shared" si="83"/>
        <v>387.09847858095702</v>
      </c>
      <c r="T65" s="1">
        <f t="shared" si="83"/>
        <v>425.39887087619297</v>
      </c>
      <c r="U65" s="1">
        <f t="shared" si="83"/>
        <v>467.63977501842879</v>
      </c>
      <c r="X65" s="2">
        <v>40.036999999999999</v>
      </c>
      <c r="Y65" s="1">
        <f>H65-X65</f>
        <v>50.716000000000001</v>
      </c>
      <c r="Z65" s="2">
        <v>26.986000000000001</v>
      </c>
      <c r="AA65" s="1">
        <f>I65-Z65</f>
        <v>77.331999999999994</v>
      </c>
      <c r="AB65" s="2">
        <v>118.828</v>
      </c>
      <c r="AC65" s="1">
        <f>J65-AB65</f>
        <v>143.87300000000002</v>
      </c>
      <c r="AD65" s="2">
        <v>180.465</v>
      </c>
      <c r="AE65" s="1">
        <f>K65-AD65</f>
        <v>180.40200000000002</v>
      </c>
    </row>
    <row r="66" spans="2:31" s="19" customFormat="1" outlineLevel="1">
      <c r="B66" s="18"/>
      <c r="C66" s="19" t="s">
        <v>67</v>
      </c>
      <c r="F66" s="19">
        <v>2.6549999999999998</v>
      </c>
      <c r="G66" s="19">
        <v>3.71</v>
      </c>
      <c r="H66" s="19">
        <v>4.6630000000000003</v>
      </c>
      <c r="I66" s="19">
        <v>38.252000000000002</v>
      </c>
      <c r="J66" s="19">
        <v>143.476</v>
      </c>
      <c r="K66" s="19">
        <v>41.289000000000001</v>
      </c>
      <c r="L66" s="3">
        <v>50</v>
      </c>
      <c r="M66" s="3">
        <v>50</v>
      </c>
      <c r="N66" s="3">
        <v>50</v>
      </c>
      <c r="O66" s="3">
        <v>60</v>
      </c>
      <c r="P66" s="3">
        <v>60</v>
      </c>
      <c r="Q66" s="3">
        <v>80</v>
      </c>
      <c r="R66" s="3">
        <v>80</v>
      </c>
      <c r="S66" s="3">
        <v>80</v>
      </c>
      <c r="T66" s="3">
        <v>80</v>
      </c>
      <c r="U66" s="3">
        <v>80</v>
      </c>
    </row>
    <row r="67" spans="2:31" s="8" customFormat="1" outlineLevel="1">
      <c r="D67" s="8" t="s">
        <v>68</v>
      </c>
      <c r="G67" s="8">
        <f t="shared" ref="G67:U67" si="84">G66/AVERAGE(G118+G120+G121+G170+G171+G172+G173,F118+F120+F121+F170+F171+F172+F173)</f>
        <v>1.0053165256694434E-2</v>
      </c>
      <c r="H67" s="8">
        <f t="shared" si="84"/>
        <v>9.4597514254037857E-3</v>
      </c>
      <c r="I67" s="8">
        <f t="shared" si="84"/>
        <v>1.150343889730342E-2</v>
      </c>
      <c r="J67" s="8">
        <f t="shared" si="84"/>
        <v>2.723237227470577E-2</v>
      </c>
      <c r="K67" s="8">
        <f t="shared" si="84"/>
        <v>1.0696643208956693E-2</v>
      </c>
      <c r="L67" s="8">
        <f t="shared" si="84"/>
        <v>1.5834453227249117E-2</v>
      </c>
      <c r="M67" s="8">
        <f t="shared" si="84"/>
        <v>1.6279314853207327E-2</v>
      </c>
      <c r="N67" s="8">
        <f t="shared" si="84"/>
        <v>1.4219018980289681E-2</v>
      </c>
      <c r="O67" s="8">
        <f t="shared" si="84"/>
        <v>1.3614736529835204E-2</v>
      </c>
      <c r="P67" s="8">
        <f t="shared" si="84"/>
        <v>9.8212816321927039E-3</v>
      </c>
      <c r="Q67" s="8">
        <f t="shared" si="84"/>
        <v>8.602747949897788E-3</v>
      </c>
      <c r="R67" s="8">
        <f t="shared" si="84"/>
        <v>5.5453452791893367E-3</v>
      </c>
      <c r="S67" s="8">
        <f t="shared" si="84"/>
        <v>3.7657720212725307E-3</v>
      </c>
      <c r="T67" s="8">
        <f t="shared" si="84"/>
        <v>2.721870240750809E-3</v>
      </c>
      <c r="U67" s="8">
        <f t="shared" si="84"/>
        <v>2.0473059796066264E-3</v>
      </c>
    </row>
    <row r="68" spans="2:31" s="19" customFormat="1" outlineLevel="1">
      <c r="B68" s="18"/>
      <c r="C68" s="19" t="s">
        <v>69</v>
      </c>
      <c r="F68" s="19">
        <v>22.077999999999999</v>
      </c>
      <c r="G68" s="19">
        <v>49.426000000000002</v>
      </c>
      <c r="H68" s="19">
        <v>74.861000000000004</v>
      </c>
      <c r="I68" s="19">
        <v>45.661000000000001</v>
      </c>
      <c r="J68" s="19">
        <v>45.86</v>
      </c>
      <c r="K68" s="19">
        <f>K69*K5</f>
        <v>57.22851</v>
      </c>
      <c r="L68" s="19">
        <f>L69*L5</f>
        <v>128.29273752403307</v>
      </c>
      <c r="M68" s="19">
        <f t="shared" ref="M68:U68" si="85">M69*M5</f>
        <v>171.0135724545971</v>
      </c>
      <c r="N68" s="19">
        <f t="shared" si="85"/>
        <v>202.97815394919405</v>
      </c>
      <c r="O68" s="19">
        <f t="shared" si="85"/>
        <v>234.38552327851829</v>
      </c>
      <c r="P68" s="19">
        <f t="shared" si="85"/>
        <v>269.57518035433759</v>
      </c>
      <c r="Q68" s="19">
        <f t="shared" si="85"/>
        <v>310.4737976046427</v>
      </c>
      <c r="R68" s="19">
        <f t="shared" si="85"/>
        <v>349.43047616350128</v>
      </c>
      <c r="S68" s="19">
        <f t="shared" si="85"/>
        <v>387.09847858095702</v>
      </c>
      <c r="T68" s="19">
        <f t="shared" si="85"/>
        <v>425.39887087619297</v>
      </c>
      <c r="U68" s="19">
        <f t="shared" si="85"/>
        <v>467.63977501842879</v>
      </c>
    </row>
    <row r="69" spans="2:31" s="8" customFormat="1" outlineLevel="1">
      <c r="D69" s="8" t="s">
        <v>55</v>
      </c>
      <c r="F69" s="8">
        <f>F68/F5</f>
        <v>3.8351953434287321E-3</v>
      </c>
      <c r="G69" s="8">
        <f t="shared" ref="G69:J69" si="86">G68/G5</f>
        <v>6.3304287595582105E-3</v>
      </c>
      <c r="H69" s="8">
        <f t="shared" si="86"/>
        <v>7.0376801348478969E-3</v>
      </c>
      <c r="I69" s="8">
        <f t="shared" si="86"/>
        <v>2.6908321596313301E-3</v>
      </c>
      <c r="J69" s="8">
        <f t="shared" si="86"/>
        <v>1.7269302305124245E-3</v>
      </c>
      <c r="K69" s="9">
        <v>2E-3</v>
      </c>
      <c r="L69" s="9">
        <v>2E-3</v>
      </c>
      <c r="M69" s="9">
        <v>2E-3</v>
      </c>
      <c r="N69" s="9">
        <v>2E-3</v>
      </c>
      <c r="O69" s="9">
        <v>2E-3</v>
      </c>
      <c r="P69" s="9">
        <v>2E-3</v>
      </c>
      <c r="Q69" s="9">
        <v>2E-3</v>
      </c>
      <c r="R69" s="9">
        <v>2E-3</v>
      </c>
      <c r="S69" s="9">
        <v>2E-3</v>
      </c>
      <c r="T69" s="9">
        <v>2E-3</v>
      </c>
      <c r="U69" s="9">
        <v>2E-3</v>
      </c>
    </row>
    <row r="70" spans="2:31" s="19" customFormat="1" outlineLevel="1">
      <c r="B70" s="18"/>
      <c r="C70" s="19" t="s">
        <v>70</v>
      </c>
      <c r="F70" s="19">
        <f t="shared" ref="F70:K70" si="87">F65-F66-F68</f>
        <v>10.929999999999996</v>
      </c>
      <c r="G70" s="19">
        <f t="shared" si="87"/>
        <v>8.9579999999999984</v>
      </c>
      <c r="H70" s="19">
        <f t="shared" si="87"/>
        <v>11.228999999999999</v>
      </c>
      <c r="I70" s="19">
        <f t="shared" si="87"/>
        <v>20.405000000000001</v>
      </c>
      <c r="J70" s="19">
        <f t="shared" si="87"/>
        <v>73.365000000000023</v>
      </c>
      <c r="K70" s="19">
        <f t="shared" si="87"/>
        <v>262.34949000000006</v>
      </c>
    </row>
    <row r="72" spans="2:31">
      <c r="B72" s="1" t="s">
        <v>71</v>
      </c>
      <c r="F72" s="2">
        <v>0</v>
      </c>
      <c r="G72" s="2">
        <v>0</v>
      </c>
      <c r="H72" s="2">
        <v>0.48199999999999998</v>
      </c>
      <c r="I72" s="2">
        <f>30.049-2.363</f>
        <v>27.686</v>
      </c>
      <c r="J72" s="2">
        <f>75.262-10.023</f>
        <v>65.239000000000004</v>
      </c>
      <c r="K72" s="2">
        <f>99.109-24.249</f>
        <v>74.86</v>
      </c>
      <c r="X72" s="2">
        <v>0</v>
      </c>
      <c r="Y72" s="1">
        <f>H72-X72</f>
        <v>0.48199999999999998</v>
      </c>
      <c r="Z72" s="2">
        <v>5.2050000000000001</v>
      </c>
      <c r="AA72" s="1">
        <f>I72-Z72</f>
        <v>22.481000000000002</v>
      </c>
      <c r="AB72" s="2">
        <f>21.828-3.539</f>
        <v>18.288999999999998</v>
      </c>
      <c r="AC72" s="1">
        <f>J72-AB72</f>
        <v>46.95</v>
      </c>
      <c r="AD72" s="2">
        <f>45.452-3.52</f>
        <v>41.931999999999995</v>
      </c>
      <c r="AE72" s="1">
        <f>K72-AD72</f>
        <v>32.928000000000004</v>
      </c>
    </row>
    <row r="74" spans="2:31">
      <c r="B74" s="1" t="s">
        <v>72</v>
      </c>
      <c r="F74" s="2">
        <v>8.0719999999999992</v>
      </c>
      <c r="G74" s="2">
        <v>12.012</v>
      </c>
      <c r="H74" s="2">
        <v>26.062000000000001</v>
      </c>
      <c r="I74" s="2">
        <v>17.856999999999999</v>
      </c>
      <c r="J74" s="2">
        <v>95.084000000000003</v>
      </c>
      <c r="K74" s="2">
        <v>-244.96600000000001</v>
      </c>
      <c r="X74" s="2">
        <v>8.1859999999999999</v>
      </c>
      <c r="Y74" s="1">
        <f>H74-X74</f>
        <v>17.876000000000001</v>
      </c>
      <c r="Z74" s="2">
        <v>18.826000000000001</v>
      </c>
      <c r="AA74" s="1">
        <f>I74-Z74</f>
        <v>-0.96900000000000119</v>
      </c>
      <c r="AB74" s="2">
        <v>-2.786</v>
      </c>
      <c r="AC74" s="1">
        <f>J74-AB74</f>
        <v>97.87</v>
      </c>
      <c r="AD74" s="2">
        <v>32.820999999999998</v>
      </c>
      <c r="AE74" s="1">
        <f>K74-AD74</f>
        <v>-277.78700000000003</v>
      </c>
    </row>
    <row r="76" spans="2:31">
      <c r="B76" s="1" t="s">
        <v>73</v>
      </c>
      <c r="F76" s="2">
        <v>-3.2210000000000001</v>
      </c>
      <c r="G76" s="2">
        <v>-8.1669999999999998</v>
      </c>
      <c r="H76" s="2">
        <v>-8.6140000000000008</v>
      </c>
      <c r="I76" s="2">
        <v>-31.231000000000002</v>
      </c>
      <c r="J76" s="2">
        <v>-236.791</v>
      </c>
      <c r="K76" s="2">
        <v>-445.55900000000003</v>
      </c>
      <c r="L76" s="1">
        <f>L77+L78+L80</f>
        <v>-233.41652064570724</v>
      </c>
      <c r="M76" s="1">
        <f t="shared" ref="M76:U76" si="88">M77+M78+M80</f>
        <v>-233.41652064570724</v>
      </c>
      <c r="N76" s="1">
        <f t="shared" si="88"/>
        <v>-233.41652064570724</v>
      </c>
      <c r="O76" s="1">
        <f t="shared" si="88"/>
        <v>-233.41652064570724</v>
      </c>
      <c r="P76" s="1">
        <f t="shared" si="88"/>
        <v>-233.41652064570724</v>
      </c>
      <c r="Q76" s="1">
        <f t="shared" si="88"/>
        <v>-233.41652064570724</v>
      </c>
      <c r="R76" s="1">
        <f t="shared" si="88"/>
        <v>-233.41652064570724</v>
      </c>
      <c r="S76" s="1">
        <f t="shared" si="88"/>
        <v>-233.41652064570724</v>
      </c>
      <c r="T76" s="1">
        <f t="shared" si="88"/>
        <v>-233.41652064570724</v>
      </c>
      <c r="U76" s="1">
        <f t="shared" si="88"/>
        <v>-233.41652064570724</v>
      </c>
      <c r="X76" s="2">
        <v>-6.282</v>
      </c>
      <c r="Y76" s="1">
        <f>H76-X76</f>
        <v>-2.3320000000000007</v>
      </c>
      <c r="Z76" s="2">
        <v>-8.7739999999999991</v>
      </c>
      <c r="AA76" s="1">
        <f>I76-Z76</f>
        <v>-22.457000000000001</v>
      </c>
      <c r="AB76" s="2">
        <v>-102.134</v>
      </c>
      <c r="AC76" s="1">
        <f>J76-AB76</f>
        <v>-134.65699999999998</v>
      </c>
      <c r="AD76" s="2">
        <v>-183.00299999999999</v>
      </c>
      <c r="AE76" s="1">
        <f>K76-AD76</f>
        <v>-262.55600000000004</v>
      </c>
    </row>
    <row r="77" spans="2:31" s="19" customFormat="1" outlineLevel="1">
      <c r="C77" s="19" t="s">
        <v>74</v>
      </c>
      <c r="F77" s="19">
        <v>0</v>
      </c>
      <c r="G77" s="19">
        <v>0</v>
      </c>
      <c r="H77" s="19">
        <v>0</v>
      </c>
      <c r="I77" s="19">
        <v>0</v>
      </c>
      <c r="J77" s="19">
        <v>-216.46799999999999</v>
      </c>
      <c r="K77" s="19">
        <v>-320.35599999999999</v>
      </c>
    </row>
    <row r="78" spans="2:31" s="19" customFormat="1" outlineLevel="1">
      <c r="C78" s="19" t="s">
        <v>75</v>
      </c>
      <c r="F78" s="19">
        <v>-3.2210000000000001</v>
      </c>
      <c r="G78" s="19">
        <v>-8.1669999999999998</v>
      </c>
      <c r="H78" s="19">
        <v>-8.6140000000000008</v>
      </c>
      <c r="I78" s="19">
        <v>-31.231000000000002</v>
      </c>
      <c r="J78" s="19">
        <f>-16.697-2.144</f>
        <v>-18.841000000000001</v>
      </c>
      <c r="K78" s="19">
        <f>-118.384-4.899</f>
        <v>-123.283</v>
      </c>
      <c r="L78" s="19">
        <f t="shared" ref="L78:U78" si="89">L79*AVERAGE(K184+K191,L184+L191)</f>
        <v>-233.41652064570724</v>
      </c>
      <c r="M78" s="19">
        <f t="shared" si="89"/>
        <v>-233.41652064570724</v>
      </c>
      <c r="N78" s="19">
        <f t="shared" si="89"/>
        <v>-233.41652064570724</v>
      </c>
      <c r="O78" s="19">
        <f t="shared" si="89"/>
        <v>-233.41652064570724</v>
      </c>
      <c r="P78" s="19">
        <f t="shared" si="89"/>
        <v>-233.41652064570724</v>
      </c>
      <c r="Q78" s="19">
        <f t="shared" si="89"/>
        <v>-233.41652064570724</v>
      </c>
      <c r="R78" s="19">
        <f t="shared" si="89"/>
        <v>-233.41652064570724</v>
      </c>
      <c r="S78" s="19">
        <f t="shared" si="89"/>
        <v>-233.41652064570724</v>
      </c>
      <c r="T78" s="19">
        <f t="shared" si="89"/>
        <v>-233.41652064570724</v>
      </c>
      <c r="U78" s="19">
        <f t="shared" si="89"/>
        <v>-233.41652064570724</v>
      </c>
    </row>
    <row r="79" spans="2:31" s="8" customFormat="1" outlineLevel="1">
      <c r="D79" s="8" t="s">
        <v>76</v>
      </c>
      <c r="G79" s="8">
        <f>G78/AVERAGE(G184+G191,F184+F191)</f>
        <v>-1.6449922604594578E-2</v>
      </c>
      <c r="H79" s="8">
        <f>H78/AVERAGE(H184+H191,G184+G191)</f>
        <v>-1.8410270768191739E-2</v>
      </c>
      <c r="I79" s="8">
        <f>I78/AVERAGE(I184+I191,H184+H191)</f>
        <v>-8.1375867343083524E-2</v>
      </c>
      <c r="J79" s="8">
        <f>J78/AVERAGE(J184+J191,I184+I191)</f>
        <v>-5.8888430475333195E-2</v>
      </c>
      <c r="K79" s="8">
        <f>K78/AVERAGE(K184+K191,J184+J191)</f>
        <v>-5.728771926726664E-2</v>
      </c>
      <c r="L79" s="9">
        <f t="shared" ref="L79:U79" si="90">K79</f>
        <v>-5.728771926726664E-2</v>
      </c>
      <c r="M79" s="9">
        <f t="shared" si="90"/>
        <v>-5.728771926726664E-2</v>
      </c>
      <c r="N79" s="9">
        <f t="shared" si="90"/>
        <v>-5.728771926726664E-2</v>
      </c>
      <c r="O79" s="9">
        <f t="shared" si="90"/>
        <v>-5.728771926726664E-2</v>
      </c>
      <c r="P79" s="9">
        <f t="shared" si="90"/>
        <v>-5.728771926726664E-2</v>
      </c>
      <c r="Q79" s="9">
        <f t="shared" si="90"/>
        <v>-5.728771926726664E-2</v>
      </c>
      <c r="R79" s="9">
        <f t="shared" si="90"/>
        <v>-5.728771926726664E-2</v>
      </c>
      <c r="S79" s="9">
        <f t="shared" si="90"/>
        <v>-5.728771926726664E-2</v>
      </c>
      <c r="T79" s="9">
        <f t="shared" si="90"/>
        <v>-5.728771926726664E-2</v>
      </c>
      <c r="U79" s="9">
        <f t="shared" si="90"/>
        <v>-5.728771926726664E-2</v>
      </c>
    </row>
    <row r="80" spans="2:31" s="19" customFormat="1" outlineLevel="1">
      <c r="C80" s="19" t="s">
        <v>77</v>
      </c>
      <c r="F80" s="19">
        <f t="shared" ref="F80:I80" si="91">F76-F77-F78</f>
        <v>0</v>
      </c>
      <c r="G80" s="19">
        <f t="shared" si="91"/>
        <v>0</v>
      </c>
      <c r="H80" s="19">
        <f t="shared" si="91"/>
        <v>0</v>
      </c>
      <c r="I80" s="19">
        <f t="shared" si="91"/>
        <v>0</v>
      </c>
      <c r="J80" s="19">
        <f>J76-J77-J78</f>
        <v>-1.4820000000000064</v>
      </c>
      <c r="K80" s="19">
        <f>K76-K77-K78</f>
        <v>-1.9200000000000301</v>
      </c>
    </row>
    <row r="82" spans="2:31" s="6" customFormat="1">
      <c r="B82" s="6" t="s">
        <v>78</v>
      </c>
      <c r="F82" s="6">
        <f t="shared" ref="F82:U82" si="92">F62+F65+F72+F74+F76</f>
        <v>560.10800000000006</v>
      </c>
      <c r="G82" s="6">
        <f t="shared" si="92"/>
        <v>1345.8769999999993</v>
      </c>
      <c r="H82" s="6">
        <f t="shared" si="92"/>
        <v>1625.0500000000009</v>
      </c>
      <c r="I82" s="6">
        <f t="shared" si="92"/>
        <v>2261.829999999999</v>
      </c>
      <c r="J82" s="6">
        <f t="shared" si="92"/>
        <v>3247.2240000000015</v>
      </c>
      <c r="K82" s="6">
        <f t="shared" si="92"/>
        <v>735.14200000000233</v>
      </c>
      <c r="L82" s="6">
        <f t="shared" si="92"/>
        <v>5143.6938191364288</v>
      </c>
      <c r="M82" s="6">
        <f t="shared" si="92"/>
        <v>9122.1753355823548</v>
      </c>
      <c r="N82" s="6">
        <f t="shared" si="92"/>
        <v>11007.93699365551</v>
      </c>
      <c r="O82" s="6">
        <f t="shared" si="92"/>
        <v>12797.063215285585</v>
      </c>
      <c r="P82" s="6">
        <f t="shared" si="92"/>
        <v>15351.437145223188</v>
      </c>
      <c r="Q82" s="6">
        <f t="shared" si="92"/>
        <v>19176.536337235855</v>
      </c>
      <c r="R82" s="6">
        <f t="shared" si="92"/>
        <v>22828.842625282057</v>
      </c>
      <c r="S82" s="6">
        <f t="shared" si="92"/>
        <v>26074.162138825504</v>
      </c>
      <c r="T82" s="6">
        <f t="shared" si="92"/>
        <v>29180.995390091011</v>
      </c>
      <c r="U82" s="6">
        <f t="shared" si="92"/>
        <v>32985.872622942108</v>
      </c>
      <c r="X82" s="6">
        <f t="shared" ref="X82:AE82" si="93">X62+X65+X72+X74+X76</f>
        <v>757.97599999999989</v>
      </c>
      <c r="Y82" s="6">
        <f t="shared" si="93"/>
        <v>867.0740000000003</v>
      </c>
      <c r="Z82" s="6">
        <f t="shared" si="93"/>
        <v>900.91799999999932</v>
      </c>
      <c r="AA82" s="6">
        <f t="shared" si="93"/>
        <v>1360.9119999999975</v>
      </c>
      <c r="AB82" s="6">
        <f t="shared" si="93"/>
        <v>1251.0080000000005</v>
      </c>
      <c r="AC82" s="6">
        <f t="shared" si="93"/>
        <v>1996.2160000000015</v>
      </c>
      <c r="AD82" s="6">
        <f t="shared" si="93"/>
        <v>-924.41800000000057</v>
      </c>
      <c r="AE82" s="6">
        <f t="shared" si="93"/>
        <v>1659.560000000002</v>
      </c>
    </row>
    <row r="84" spans="2:31">
      <c r="B84" s="1" t="s">
        <v>79</v>
      </c>
      <c r="F84" s="2">
        <v>-149.42599999999999</v>
      </c>
      <c r="G84" s="2">
        <v>-367.68599999999998</v>
      </c>
      <c r="H84" s="2">
        <v>-430.70800000000003</v>
      </c>
      <c r="I84" s="2">
        <v>-612.98400000000004</v>
      </c>
      <c r="J84" s="2">
        <v>-900.26199999999994</v>
      </c>
      <c r="K84" s="2">
        <v>-425.596</v>
      </c>
      <c r="L84" s="1">
        <f>-L82*L85</f>
        <v>-1285.9234547841072</v>
      </c>
      <c r="M84" s="1">
        <f t="shared" ref="M84:P84" si="94">-M82*M85</f>
        <v>-2280.5438338955887</v>
      </c>
      <c r="N84" s="1">
        <f t="shared" si="94"/>
        <v>-2751.9842484138776</v>
      </c>
      <c r="O84" s="1">
        <f t="shared" si="94"/>
        <v>-3199.2658038213963</v>
      </c>
      <c r="P84" s="1">
        <f t="shared" si="94"/>
        <v>-3837.859286305797</v>
      </c>
      <c r="Q84" s="1">
        <f>-Q82*Q85</f>
        <v>-4794.1340843089638</v>
      </c>
      <c r="R84" s="1">
        <f t="shared" ref="R84:U84" si="95">-R82*R85</f>
        <v>-5707.2106563205143</v>
      </c>
      <c r="S84" s="1">
        <f t="shared" si="95"/>
        <v>-6518.5405347063761</v>
      </c>
      <c r="T84" s="1">
        <f t="shared" si="95"/>
        <v>-7295.2488475227528</v>
      </c>
      <c r="U84" s="1">
        <f t="shared" si="95"/>
        <v>-8246.468155735527</v>
      </c>
      <c r="X84" s="2">
        <v>-204.828</v>
      </c>
      <c r="Y84" s="1">
        <f>H84-X84</f>
        <v>-225.88000000000002</v>
      </c>
      <c r="Z84" s="2">
        <v>-253.50700000000001</v>
      </c>
      <c r="AA84" s="1">
        <f>I84-Z84</f>
        <v>-359.47700000000003</v>
      </c>
      <c r="AB84" s="2">
        <v>-338.84300000000002</v>
      </c>
      <c r="AC84" s="1">
        <f>J84-AB84</f>
        <v>-561.41899999999987</v>
      </c>
      <c r="AD84" s="2">
        <v>-40.088999999999999</v>
      </c>
      <c r="AE84" s="1">
        <f>K84-AD84</f>
        <v>-385.50700000000001</v>
      </c>
    </row>
    <row r="85" spans="2:31" s="8" customFormat="1">
      <c r="C85" s="8" t="s">
        <v>80</v>
      </c>
      <c r="F85" s="8">
        <f>-F84/F82</f>
        <v>0.26678069229505735</v>
      </c>
      <c r="G85" s="8">
        <f t="shared" ref="G85:K85" si="96">-G84/G82</f>
        <v>0.2731943557992299</v>
      </c>
      <c r="H85" s="8">
        <f t="shared" si="96"/>
        <v>0.26504292175625355</v>
      </c>
      <c r="I85" s="8">
        <f t="shared" si="96"/>
        <v>0.27101241030493023</v>
      </c>
      <c r="J85" s="8">
        <f t="shared" si="96"/>
        <v>0.27724049834566372</v>
      </c>
      <c r="K85" s="8">
        <f t="shared" si="96"/>
        <v>0.57893032910648368</v>
      </c>
      <c r="L85" s="9">
        <v>0.25</v>
      </c>
      <c r="M85" s="9">
        <v>0.25</v>
      </c>
      <c r="N85" s="9">
        <v>0.25</v>
      </c>
      <c r="O85" s="9">
        <v>0.25</v>
      </c>
      <c r="P85" s="9">
        <v>0.25</v>
      </c>
      <c r="Q85" s="9">
        <v>0.25</v>
      </c>
      <c r="R85" s="9">
        <v>0.25</v>
      </c>
      <c r="S85" s="9">
        <v>0.25</v>
      </c>
      <c r="T85" s="9">
        <v>0.25</v>
      </c>
      <c r="U85" s="9">
        <v>0.25</v>
      </c>
      <c r="X85" s="8">
        <f t="shared" ref="X85" si="97">-X84/X82</f>
        <v>0.27023019198497056</v>
      </c>
      <c r="Y85" s="8">
        <f>-Y84/Y82</f>
        <v>0.2605083303155209</v>
      </c>
      <c r="Z85" s="8">
        <f t="shared" ref="Z85:AE85" si="98">-Z84/Z82</f>
        <v>0.28138742926659271</v>
      </c>
      <c r="AA85" s="8">
        <f t="shared" si="98"/>
        <v>0.2641441915421428</v>
      </c>
      <c r="AB85" s="8">
        <f t="shared" si="98"/>
        <v>0.27085598173632774</v>
      </c>
      <c r="AC85" s="8">
        <f t="shared" si="98"/>
        <v>0.28124160912446322</v>
      </c>
      <c r="AD85" s="8">
        <f t="shared" si="98"/>
        <v>-4.336674534680196E-2</v>
      </c>
      <c r="AE85" s="8">
        <f t="shared" si="98"/>
        <v>0.23229470462050156</v>
      </c>
    </row>
    <row r="87" spans="2:31" s="6" customFormat="1">
      <c r="B87" s="6" t="s">
        <v>81</v>
      </c>
      <c r="F87" s="6">
        <f>F82+F84</f>
        <v>410.68200000000007</v>
      </c>
      <c r="G87" s="6">
        <f t="shared" ref="G87:U87" si="99">G82+G84</f>
        <v>978.19099999999935</v>
      </c>
      <c r="H87" s="6">
        <f t="shared" si="99"/>
        <v>1194.3420000000008</v>
      </c>
      <c r="I87" s="6">
        <f t="shared" si="99"/>
        <v>1648.8459999999991</v>
      </c>
      <c r="J87" s="6">
        <f t="shared" si="99"/>
        <v>2346.9620000000014</v>
      </c>
      <c r="K87" s="6">
        <f t="shared" si="99"/>
        <v>309.54600000000232</v>
      </c>
      <c r="L87" s="6">
        <f t="shared" si="99"/>
        <v>3857.7703643523218</v>
      </c>
      <c r="M87" s="6">
        <f t="shared" si="99"/>
        <v>6841.6315016867666</v>
      </c>
      <c r="N87" s="6">
        <f t="shared" si="99"/>
        <v>8255.9527452416332</v>
      </c>
      <c r="O87" s="6">
        <f t="shared" si="99"/>
        <v>9597.7974114641893</v>
      </c>
      <c r="P87" s="6">
        <f t="shared" si="99"/>
        <v>11513.577858917391</v>
      </c>
      <c r="Q87" s="6">
        <f t="shared" si="99"/>
        <v>14382.402252926891</v>
      </c>
      <c r="R87" s="6">
        <f t="shared" si="99"/>
        <v>17121.631968961541</v>
      </c>
      <c r="S87" s="6">
        <f t="shared" si="99"/>
        <v>19555.621604119129</v>
      </c>
      <c r="T87" s="6">
        <f t="shared" si="99"/>
        <v>21885.74654256826</v>
      </c>
      <c r="U87" s="6">
        <f t="shared" si="99"/>
        <v>24739.404467206579</v>
      </c>
      <c r="X87" s="6">
        <f t="shared" ref="X87:AE87" si="100">X82+X84</f>
        <v>553.14799999999991</v>
      </c>
      <c r="Y87" s="6">
        <f>Y82+Y84</f>
        <v>641.1940000000003</v>
      </c>
      <c r="Z87" s="6">
        <f t="shared" si="100"/>
        <v>647.41099999999938</v>
      </c>
      <c r="AA87" s="6">
        <f>AA82+AA84</f>
        <v>1001.4349999999974</v>
      </c>
      <c r="AB87" s="6">
        <f t="shared" si="100"/>
        <v>912.16500000000042</v>
      </c>
      <c r="AC87" s="6">
        <f t="shared" si="100"/>
        <v>1434.7970000000016</v>
      </c>
      <c r="AD87" s="6">
        <f t="shared" si="100"/>
        <v>-964.50700000000052</v>
      </c>
      <c r="AE87" s="6">
        <f t="shared" si="100"/>
        <v>1274.0530000000019</v>
      </c>
    </row>
    <row r="88" spans="2:31" s="8" customFormat="1">
      <c r="B88" s="8" t="s">
        <v>82</v>
      </c>
      <c r="F88" s="8">
        <f t="shared" ref="F88:I88" si="101">F87/F$5</f>
        <v>7.1340053176465204E-2</v>
      </c>
      <c r="G88" s="8">
        <f t="shared" si="101"/>
        <v>0.12528564801402098</v>
      </c>
      <c r="H88" s="8">
        <f t="shared" si="101"/>
        <v>0.11228005193110581</v>
      </c>
      <c r="I88" s="8">
        <f t="shared" si="101"/>
        <v>9.7167557501576352E-2</v>
      </c>
      <c r="J88" s="8">
        <f>J87/J$5</f>
        <v>8.8378535273962125E-2</v>
      </c>
      <c r="K88" s="8">
        <f>K87/K$5</f>
        <v>1.0817894787056392E-2</v>
      </c>
      <c r="L88" s="8">
        <f t="shared" ref="L88:U88" si="102">L87/L$5</f>
        <v>6.0140120770743495E-2</v>
      </c>
      <c r="M88" s="8">
        <f t="shared" si="102"/>
        <v>8.0012731194223446E-2</v>
      </c>
      <c r="N88" s="8">
        <f t="shared" si="102"/>
        <v>8.1348190281680458E-2</v>
      </c>
      <c r="O88" s="8">
        <f t="shared" si="102"/>
        <v>8.1897527434398834E-2</v>
      </c>
      <c r="P88" s="8">
        <f t="shared" si="102"/>
        <v>8.5420162522258952E-2</v>
      </c>
      <c r="Q88" s="8">
        <f t="shared" si="102"/>
        <v>9.2648090524157151E-2</v>
      </c>
      <c r="R88" s="8">
        <f t="shared" si="102"/>
        <v>9.7997359342807844E-2</v>
      </c>
      <c r="S88" s="8">
        <f t="shared" si="102"/>
        <v>0.10103693342224959</v>
      </c>
      <c r="T88" s="8">
        <f t="shared" si="102"/>
        <v>0.10289517928193012</v>
      </c>
      <c r="U88" s="8">
        <f t="shared" si="102"/>
        <v>0.10580539034016791</v>
      </c>
      <c r="X88" s="8">
        <f>X87/X$5</f>
        <v>0.11630370905359787</v>
      </c>
      <c r="Y88" s="8">
        <f t="shared" ref="Y88:AE88" si="103">Y87/Y$5</f>
        <v>0.10902610988921303</v>
      </c>
      <c r="Z88" s="8">
        <f t="shared" si="103"/>
        <v>8.8171372600932219E-2</v>
      </c>
      <c r="AA88" s="8">
        <f t="shared" si="103"/>
        <v>0.1040294579853684</v>
      </c>
      <c r="AB88" s="8">
        <f t="shared" si="103"/>
        <v>7.7998646557829246E-2</v>
      </c>
      <c r="AC88" s="8">
        <f t="shared" si="103"/>
        <v>9.6546731259175858E-2</v>
      </c>
      <c r="AD88" s="8">
        <f t="shared" si="103"/>
        <v>-9.8816313128130953E-2</v>
      </c>
      <c r="AE88" s="8">
        <f t="shared" si="103"/>
        <v>6.7575933572544405E-2</v>
      </c>
    </row>
    <row r="89" spans="2:31">
      <c r="C89" s="1" t="s">
        <v>83</v>
      </c>
      <c r="F89" s="1">
        <f>F87-F90</f>
        <v>272.6930000000001</v>
      </c>
      <c r="G89" s="1">
        <f>G87-G90</f>
        <v>735.16899999999941</v>
      </c>
      <c r="H89" s="1">
        <f>H87-H90</f>
        <v>1027.8450000000007</v>
      </c>
      <c r="I89" s="1">
        <f t="shared" ref="I89:U89" si="104">I87-I90</f>
        <v>1646.155999999999</v>
      </c>
      <c r="J89" s="1">
        <f t="shared" si="104"/>
        <v>2344.7110000000011</v>
      </c>
      <c r="K89" s="1">
        <f t="shared" si="104"/>
        <v>309.27100000000235</v>
      </c>
      <c r="L89" s="1">
        <f t="shared" si="104"/>
        <v>3854.3431294657562</v>
      </c>
      <c r="M89" s="1">
        <f t="shared" si="104"/>
        <v>6835.5534109895398</v>
      </c>
      <c r="N89" s="1">
        <f t="shared" si="104"/>
        <v>8248.6181745964259</v>
      </c>
      <c r="O89" s="1">
        <f t="shared" si="104"/>
        <v>9589.2707489062741</v>
      </c>
      <c r="P89" s="1">
        <f t="shared" si="104"/>
        <v>11503.349221134309</v>
      </c>
      <c r="Q89" s="1">
        <f t="shared" si="104"/>
        <v>14369.624957728262</v>
      </c>
      <c r="R89" s="1">
        <f t="shared" si="104"/>
        <v>17106.421147980283</v>
      </c>
      <c r="S89" s="1">
        <f t="shared" si="104"/>
        <v>19538.248431985965</v>
      </c>
      <c r="T89" s="1">
        <f t="shared" si="104"/>
        <v>21866.303292456141</v>
      </c>
      <c r="U89" s="1">
        <f t="shared" si="104"/>
        <v>24717.426033537653</v>
      </c>
      <c r="X89" s="1">
        <f t="shared" ref="X89" si="105">X87-X90</f>
        <v>424.80299999999988</v>
      </c>
      <c r="Y89" s="1">
        <f>Y87-Y90</f>
        <v>603.04200000000026</v>
      </c>
      <c r="Z89" s="1">
        <f t="shared" ref="Z89:AE89" si="106">Z87-Z90</f>
        <v>646.48799999999937</v>
      </c>
      <c r="AA89" s="1">
        <f t="shared" si="106"/>
        <v>999.66799999999739</v>
      </c>
      <c r="AB89" s="1">
        <f t="shared" si="106"/>
        <v>911.03500000000042</v>
      </c>
      <c r="AC89" s="1">
        <f t="shared" si="106"/>
        <v>1433.6760000000015</v>
      </c>
      <c r="AD89" s="1">
        <f t="shared" si="106"/>
        <v>-964.60200000000054</v>
      </c>
      <c r="AE89" s="1">
        <f t="shared" si="106"/>
        <v>1273.8730000000019</v>
      </c>
    </row>
    <row r="90" spans="2:31">
      <c r="C90" s="1" t="s">
        <v>84</v>
      </c>
      <c r="F90" s="2">
        <v>137.989</v>
      </c>
      <c r="G90" s="2">
        <v>243.02199999999999</v>
      </c>
      <c r="H90" s="2">
        <v>166.49700000000001</v>
      </c>
      <c r="I90" s="2">
        <v>2.69</v>
      </c>
      <c r="J90" s="2">
        <v>2.2509999999999999</v>
      </c>
      <c r="K90" s="2">
        <v>0.27500000000000002</v>
      </c>
      <c r="L90" s="1">
        <f>L91*L87</f>
        <v>3.4272348865657469</v>
      </c>
      <c r="M90" s="1">
        <f t="shared" ref="M90:U90" si="107">M91*M87</f>
        <v>6.0780906972270579</v>
      </c>
      <c r="N90" s="1">
        <f t="shared" si="107"/>
        <v>7.3345706452076023</v>
      </c>
      <c r="O90" s="1">
        <f t="shared" si="107"/>
        <v>8.5266625579158912</v>
      </c>
      <c r="P90" s="1">
        <f t="shared" si="107"/>
        <v>10.228637783083158</v>
      </c>
      <c r="Q90" s="1">
        <f t="shared" si="107"/>
        <v>12.777295198629172</v>
      </c>
      <c r="R90" s="1">
        <f t="shared" si="107"/>
        <v>15.210820981257678</v>
      </c>
      <c r="S90" s="1">
        <f t="shared" si="107"/>
        <v>17.373172133165088</v>
      </c>
      <c r="T90" s="1">
        <f t="shared" si="107"/>
        <v>19.443250112119774</v>
      </c>
      <c r="U90" s="1">
        <f t="shared" si="107"/>
        <v>21.978433668927266</v>
      </c>
      <c r="V90" s="2"/>
      <c r="W90" s="2"/>
      <c r="X90" s="2">
        <v>128.345</v>
      </c>
      <c r="Y90" s="1">
        <f>H90-X90</f>
        <v>38.152000000000015</v>
      </c>
      <c r="Z90" s="2">
        <v>0.92300000000000004</v>
      </c>
      <c r="AA90" s="1">
        <f>I90-Z90</f>
        <v>1.7669999999999999</v>
      </c>
      <c r="AB90" s="2">
        <v>1.1299999999999999</v>
      </c>
      <c r="AC90" s="1">
        <f>J90-AB90</f>
        <v>1.121</v>
      </c>
      <c r="AD90" s="2">
        <v>9.5000000000000001E-2</v>
      </c>
      <c r="AE90" s="1">
        <f>K90-AD90</f>
        <v>0.18000000000000002</v>
      </c>
    </row>
    <row r="91" spans="2:31" s="8" customFormat="1">
      <c r="D91" s="8" t="s">
        <v>85</v>
      </c>
      <c r="F91" s="8">
        <f>F90/F87</f>
        <v>0.3359996298839491</v>
      </c>
      <c r="G91" s="8">
        <f>G90/G87</f>
        <v>0.24844023304242235</v>
      </c>
      <c r="H91" s="8">
        <f>H90/H87</f>
        <v>0.13940479360183256</v>
      </c>
      <c r="I91" s="8">
        <f t="shared" ref="I91:K91" si="108">I90/I87</f>
        <v>1.63144405238573E-3</v>
      </c>
      <c r="J91" s="8">
        <f t="shared" si="108"/>
        <v>9.5911224808923137E-4</v>
      </c>
      <c r="K91" s="8">
        <f t="shared" si="108"/>
        <v>8.8839784716971944E-4</v>
      </c>
      <c r="L91" s="9">
        <f>K91</f>
        <v>8.8839784716971944E-4</v>
      </c>
      <c r="M91" s="9">
        <f t="shared" ref="M91:U91" si="109">L91</f>
        <v>8.8839784716971944E-4</v>
      </c>
      <c r="N91" s="9">
        <f t="shared" si="109"/>
        <v>8.8839784716971944E-4</v>
      </c>
      <c r="O91" s="9">
        <f t="shared" si="109"/>
        <v>8.8839784716971944E-4</v>
      </c>
      <c r="P91" s="9">
        <f t="shared" si="109"/>
        <v>8.8839784716971944E-4</v>
      </c>
      <c r="Q91" s="9">
        <f t="shared" si="109"/>
        <v>8.8839784716971944E-4</v>
      </c>
      <c r="R91" s="9">
        <f t="shared" si="109"/>
        <v>8.8839784716971944E-4</v>
      </c>
      <c r="S91" s="9">
        <f t="shared" si="109"/>
        <v>8.8839784716971944E-4</v>
      </c>
      <c r="T91" s="9">
        <f t="shared" si="109"/>
        <v>8.8839784716971944E-4</v>
      </c>
      <c r="U91" s="9">
        <f t="shared" si="109"/>
        <v>8.8839784716971944E-4</v>
      </c>
      <c r="X91" s="8">
        <f t="shared" ref="X91" si="110">X90/X87</f>
        <v>0.2320265100841005</v>
      </c>
      <c r="Y91" s="8">
        <f>Y90/Y87</f>
        <v>5.9501492528002443E-2</v>
      </c>
      <c r="Z91" s="8">
        <f t="shared" ref="Z91:AE91" si="111">Z90/Z87</f>
        <v>1.425678587481524E-3</v>
      </c>
      <c r="AA91" s="8">
        <f t="shared" si="111"/>
        <v>1.7644679884365978E-3</v>
      </c>
      <c r="AB91" s="8">
        <f t="shared" si="111"/>
        <v>1.2388109607362695E-3</v>
      </c>
      <c r="AC91" s="8">
        <f t="shared" si="111"/>
        <v>7.812951936754807E-4</v>
      </c>
      <c r="AD91" s="8">
        <f t="shared" si="111"/>
        <v>-9.8495915529902796E-5</v>
      </c>
      <c r="AE91" s="8">
        <f t="shared" si="111"/>
        <v>1.4128140666047625E-4</v>
      </c>
    </row>
    <row r="93" spans="2:31">
      <c r="B93" s="1" t="s">
        <v>86</v>
      </c>
    </row>
    <row r="94" spans="2:31">
      <c r="C94" s="1" t="s">
        <v>87</v>
      </c>
      <c r="F94" s="2"/>
      <c r="G94" s="2"/>
      <c r="H94" s="2">
        <v>4795.3760000000002</v>
      </c>
      <c r="I94" s="2">
        <v>4988.29</v>
      </c>
      <c r="J94" s="2">
        <v>5300</v>
      </c>
      <c r="K94" s="2">
        <v>5300</v>
      </c>
      <c r="L94" s="3">
        <f t="shared" ref="L94:U94" si="112">K94</f>
        <v>5300</v>
      </c>
      <c r="M94" s="3">
        <f t="shared" si="112"/>
        <v>5300</v>
      </c>
      <c r="N94" s="3">
        <f t="shared" si="112"/>
        <v>5300</v>
      </c>
      <c r="O94" s="3">
        <f t="shared" si="112"/>
        <v>5300</v>
      </c>
      <c r="P94" s="3">
        <f t="shared" si="112"/>
        <v>5300</v>
      </c>
      <c r="Q94" s="3">
        <f t="shared" si="112"/>
        <v>5300</v>
      </c>
      <c r="R94" s="3">
        <f t="shared" si="112"/>
        <v>5300</v>
      </c>
      <c r="S94" s="3">
        <f t="shared" si="112"/>
        <v>5300</v>
      </c>
      <c r="T94" s="3">
        <f t="shared" si="112"/>
        <v>5300</v>
      </c>
      <c r="U94" s="3">
        <f t="shared" si="112"/>
        <v>5300</v>
      </c>
    </row>
    <row r="95" spans="2:31">
      <c r="C95" s="1" t="s">
        <v>88</v>
      </c>
      <c r="F95" s="2"/>
      <c r="G95" s="2"/>
      <c r="H95" s="1">
        <f t="shared" ref="H95:I95" si="113">H94</f>
        <v>4795.3760000000002</v>
      </c>
      <c r="I95" s="1">
        <f t="shared" si="113"/>
        <v>4988.29</v>
      </c>
      <c r="J95" s="1">
        <f>J94</f>
        <v>5300</v>
      </c>
      <c r="K95" s="1">
        <f>K94</f>
        <v>5300</v>
      </c>
    </row>
    <row r="97" spans="2:31">
      <c r="B97" s="1" t="s">
        <v>89</v>
      </c>
    </row>
    <row r="98" spans="2:31">
      <c r="C98" s="1" t="s">
        <v>87</v>
      </c>
      <c r="H98" s="20">
        <f t="shared" ref="H98:I99" si="114">H$89/H94</f>
        <v>0.21434085669194672</v>
      </c>
      <c r="I98" s="20">
        <f t="shared" si="114"/>
        <v>0.33000406953084105</v>
      </c>
      <c r="J98" s="20">
        <f>J$89/J94</f>
        <v>0.44239830188679269</v>
      </c>
      <c r="K98" s="20">
        <f>K$89/K94</f>
        <v>5.8353018867924968E-2</v>
      </c>
      <c r="L98" s="20">
        <f t="shared" ref="L98:U98" si="115">L$89/L94</f>
        <v>0.72723455272938797</v>
      </c>
      <c r="M98" s="20">
        <f t="shared" si="115"/>
        <v>1.2897270586772716</v>
      </c>
      <c r="N98" s="20">
        <f t="shared" si="115"/>
        <v>1.5563430518106465</v>
      </c>
      <c r="O98" s="20">
        <f t="shared" si="115"/>
        <v>1.8092963677181648</v>
      </c>
      <c r="P98" s="20">
        <f t="shared" si="115"/>
        <v>2.1704432492706243</v>
      </c>
      <c r="Q98" s="20">
        <f t="shared" si="115"/>
        <v>2.7112499920242001</v>
      </c>
      <c r="R98" s="20">
        <f>R$89/R94</f>
        <v>3.2276266316943931</v>
      </c>
      <c r="S98" s="20">
        <f t="shared" si="115"/>
        <v>3.6864619682992386</v>
      </c>
      <c r="T98" s="20">
        <f t="shared" si="115"/>
        <v>4.1257176023502149</v>
      </c>
      <c r="U98" s="20">
        <f t="shared" si="115"/>
        <v>4.663665289346727</v>
      </c>
    </row>
    <row r="99" spans="2:31">
      <c r="C99" s="1" t="s">
        <v>88</v>
      </c>
      <c r="H99" s="20">
        <f t="shared" si="114"/>
        <v>0.21434085669194672</v>
      </c>
      <c r="I99" s="20">
        <f t="shared" si="114"/>
        <v>0.33000406953084105</v>
      </c>
      <c r="J99" s="20">
        <f>J$89/J95</f>
        <v>0.44239830188679269</v>
      </c>
      <c r="K99" s="20">
        <f>K$89/K95</f>
        <v>5.8353018867924968E-2</v>
      </c>
    </row>
    <row r="100" spans="2:31">
      <c r="K100" s="21" t="s">
        <v>90</v>
      </c>
    </row>
    <row r="101" spans="2:31">
      <c r="B101" s="1" t="s">
        <v>91</v>
      </c>
      <c r="D101" s="22" t="s">
        <v>92</v>
      </c>
      <c r="F101" s="2"/>
      <c r="G101" s="2"/>
      <c r="H101" s="2">
        <v>584.00199999999995</v>
      </c>
      <c r="I101" s="2">
        <v>345</v>
      </c>
      <c r="J101" s="2">
        <v>703.41300000000001</v>
      </c>
      <c r="K101" s="3">
        <v>92.781300000000002</v>
      </c>
      <c r="L101" s="1">
        <f>L102*L87</f>
        <v>1156.3029388397181</v>
      </c>
      <c r="M101" s="1">
        <f t="shared" ref="M101:U101" si="116">M102*M87</f>
        <v>2050.6660232968466</v>
      </c>
      <c r="N101" s="1">
        <f t="shared" si="116"/>
        <v>2474.5854523789089</v>
      </c>
      <c r="O101" s="1">
        <f t="shared" si="116"/>
        <v>2876.7812246718604</v>
      </c>
      <c r="P101" s="1">
        <f t="shared" si="116"/>
        <v>3451.0047663402665</v>
      </c>
      <c r="Q101" s="1">
        <f t="shared" si="116"/>
        <v>4310.8874873184459</v>
      </c>
      <c r="R101" s="1">
        <f t="shared" si="116"/>
        <v>5131.9263443940463</v>
      </c>
      <c r="S101" s="1">
        <f t="shared" si="116"/>
        <v>5861.4745295957446</v>
      </c>
      <c r="T101" s="1">
        <f t="shared" si="116"/>
        <v>6559.8909877367923</v>
      </c>
      <c r="U101" s="1">
        <f t="shared" si="116"/>
        <v>7415.2278100612393</v>
      </c>
    </row>
    <row r="102" spans="2:31" s="13" customFormat="1">
      <c r="C102" s="13" t="s">
        <v>93</v>
      </c>
      <c r="H102" s="8">
        <f t="shared" ref="H102:I102" si="117">H101/H87</f>
        <v>0.48897384501256724</v>
      </c>
      <c r="I102" s="8">
        <f t="shared" si="117"/>
        <v>0.20923724835430366</v>
      </c>
      <c r="J102" s="8">
        <f>J101/J87</f>
        <v>0.29971213850075101</v>
      </c>
      <c r="K102" s="8">
        <f>K101/K87</f>
        <v>0.29973348064584682</v>
      </c>
      <c r="L102" s="9">
        <f>K102</f>
        <v>0.29973348064584682</v>
      </c>
      <c r="M102" s="9">
        <f t="shared" ref="M102:U102" si="118">L102</f>
        <v>0.29973348064584682</v>
      </c>
      <c r="N102" s="9">
        <f t="shared" si="118"/>
        <v>0.29973348064584682</v>
      </c>
      <c r="O102" s="9">
        <f t="shared" si="118"/>
        <v>0.29973348064584682</v>
      </c>
      <c r="P102" s="9">
        <f t="shared" si="118"/>
        <v>0.29973348064584682</v>
      </c>
      <c r="Q102" s="9">
        <f t="shared" si="118"/>
        <v>0.29973348064584682</v>
      </c>
      <c r="R102" s="9">
        <f t="shared" si="118"/>
        <v>0.29973348064584682</v>
      </c>
      <c r="S102" s="9">
        <f t="shared" si="118"/>
        <v>0.29973348064584682</v>
      </c>
      <c r="T102" s="9">
        <f t="shared" si="118"/>
        <v>0.29973348064584682</v>
      </c>
      <c r="U102" s="9">
        <f t="shared" si="118"/>
        <v>0.29973348064584682</v>
      </c>
    </row>
    <row r="103" spans="2:31">
      <c r="B103" s="1" t="s">
        <v>94</v>
      </c>
      <c r="H103" s="20">
        <f t="shared" ref="H103:I103" si="119">H101/H94</f>
        <v>0.12178440230755626</v>
      </c>
      <c r="I103" s="20">
        <f t="shared" si="119"/>
        <v>6.9161977350955944E-2</v>
      </c>
      <c r="J103" s="20">
        <f>J101/J94</f>
        <v>0.13271943396226416</v>
      </c>
      <c r="K103" s="20">
        <f>K101/K94</f>
        <v>1.7505905660377359E-2</v>
      </c>
    </row>
    <row r="107" spans="2:31" s="4" customFormat="1">
      <c r="B107" s="4" t="s">
        <v>95</v>
      </c>
      <c r="C107" s="4" t="s">
        <v>3</v>
      </c>
      <c r="F107" s="5" t="s">
        <v>4</v>
      </c>
      <c r="G107" s="5" t="s">
        <v>5</v>
      </c>
      <c r="H107" s="5" t="s">
        <v>6</v>
      </c>
      <c r="I107" s="5" t="s">
        <v>7</v>
      </c>
      <c r="J107" s="5" t="s">
        <v>8</v>
      </c>
      <c r="K107" s="5" t="s">
        <v>9</v>
      </c>
      <c r="L107" s="5" t="s">
        <v>10</v>
      </c>
      <c r="M107" s="5" t="s">
        <v>11</v>
      </c>
      <c r="N107" s="5" t="s">
        <v>12</v>
      </c>
      <c r="O107" s="5" t="s">
        <v>13</v>
      </c>
      <c r="P107" s="5" t="s">
        <v>14</v>
      </c>
      <c r="Q107" s="5" t="s">
        <v>15</v>
      </c>
      <c r="R107" s="5" t="s">
        <v>16</v>
      </c>
      <c r="S107" s="5" t="s">
        <v>17</v>
      </c>
      <c r="T107" s="5" t="s">
        <v>18</v>
      </c>
      <c r="U107" s="5" t="s">
        <v>19</v>
      </c>
      <c r="X107" s="5" t="s">
        <v>20</v>
      </c>
      <c r="Y107" s="5" t="s">
        <v>21</v>
      </c>
      <c r="Z107" s="5" t="s">
        <v>22</v>
      </c>
      <c r="AA107" s="5" t="s">
        <v>23</v>
      </c>
      <c r="AB107" s="5" t="s">
        <v>24</v>
      </c>
      <c r="AC107" s="5" t="s">
        <v>25</v>
      </c>
      <c r="AD107" s="5" t="s">
        <v>26</v>
      </c>
      <c r="AE107" s="5" t="s">
        <v>27</v>
      </c>
    </row>
    <row r="108" spans="2:31" s="6" customFormat="1">
      <c r="B108" s="6" t="s">
        <v>96</v>
      </c>
      <c r="F108" s="6">
        <f t="shared" ref="F108:U108" si="120">F110+F111+F112+F113+F114+F115+F116+F117+F118+F119+F120+F121+F123</f>
        <v>1222.556</v>
      </c>
      <c r="G108" s="6">
        <f t="shared" si="120"/>
        <v>1492.8479999999997</v>
      </c>
      <c r="H108" s="6">
        <f t="shared" si="120"/>
        <v>2274.1309999999999</v>
      </c>
      <c r="I108" s="6">
        <f t="shared" si="120"/>
        <v>6208.6569999999992</v>
      </c>
      <c r="J108" s="6">
        <f>J110+J111+J112+J113+J114+J115+J116+J117+J118+J119+J120+J121+J123</f>
        <v>13413.641</v>
      </c>
      <c r="K108" s="6">
        <f>K110+K111+K112+K113+K114+K115+K116+K117+K118+K119+K120+K121+K123</f>
        <v>20933.888000000003</v>
      </c>
      <c r="L108" s="6">
        <f t="shared" si="120"/>
        <v>28485.461831471639</v>
      </c>
      <c r="M108" s="6">
        <f t="shared" si="120"/>
        <v>35344.994871711417</v>
      </c>
      <c r="N108" s="6">
        <f t="shared" si="120"/>
        <v>41498.807207944257</v>
      </c>
      <c r="O108" s="6">
        <f t="shared" si="120"/>
        <v>48076.480287002581</v>
      </c>
      <c r="P108" s="6">
        <f t="shared" si="120"/>
        <v>55152.051724721648</v>
      </c>
      <c r="Q108" s="6">
        <f t="shared" si="120"/>
        <v>62790.677495172786</v>
      </c>
      <c r="R108" s="6">
        <f t="shared" si="120"/>
        <v>69725.263512360965</v>
      </c>
      <c r="S108" s="6">
        <f t="shared" si="120"/>
        <v>76978.573673953215</v>
      </c>
      <c r="T108" s="6">
        <f t="shared" si="120"/>
        <v>84660.344050775326</v>
      </c>
      <c r="U108" s="6">
        <f t="shared" si="120"/>
        <v>92857.435832509247</v>
      </c>
      <c r="X108" s="6">
        <f t="shared" ref="X108:AD108" si="121">X110+X111+X112+X113+X114+X115+X116+X117+X118+X119+X120+X121+X123</f>
        <v>0</v>
      </c>
      <c r="Y108" s="6">
        <f t="shared" si="121"/>
        <v>2274.1309999999999</v>
      </c>
      <c r="Z108" s="6">
        <f t="shared" si="121"/>
        <v>3046.0710000000004</v>
      </c>
      <c r="AA108" s="6">
        <f t="shared" si="121"/>
        <v>6208.6569999999992</v>
      </c>
      <c r="AB108" s="6">
        <f t="shared" si="121"/>
        <v>10036.045</v>
      </c>
      <c r="AC108" s="6">
        <f t="shared" si="121"/>
        <v>13413.641</v>
      </c>
      <c r="AD108" s="6">
        <f t="shared" si="121"/>
        <v>15589.587</v>
      </c>
      <c r="AE108" s="6">
        <f>AE110+AE111+AE112+AE113+AE114+AE115+AE116+AE117+AE118+AE119+AE120+AE121+AE123</f>
        <v>20933.888000000003</v>
      </c>
    </row>
    <row r="110" spans="2:31">
      <c r="C110" s="1" t="s">
        <v>97</v>
      </c>
      <c r="F110" s="2">
        <v>796.62800000000004</v>
      </c>
      <c r="G110" s="2">
        <v>943.04100000000005</v>
      </c>
      <c r="H110" s="2">
        <v>2085.4279999999999</v>
      </c>
      <c r="I110" s="2">
        <v>3999.8029999999999</v>
      </c>
      <c r="J110" s="2">
        <v>7689.58</v>
      </c>
      <c r="K110" s="2">
        <v>12063.795</v>
      </c>
      <c r="L110" s="1">
        <f t="shared" ref="L110:U110" si="122">L134</f>
        <v>18889.587483856129</v>
      </c>
      <c r="M110" s="1">
        <f t="shared" si="122"/>
        <v>25161.248863667868</v>
      </c>
      <c r="N110" s="1">
        <f t="shared" si="122"/>
        <v>31344.382872813658</v>
      </c>
      <c r="O110" s="1">
        <f t="shared" si="122"/>
        <v>37930.982652688035</v>
      </c>
      <c r="P110" s="1">
        <f t="shared" si="122"/>
        <v>44998.780591366689</v>
      </c>
      <c r="Q110" s="1">
        <f t="shared" si="122"/>
        <v>52615.982249390443</v>
      </c>
      <c r="R110" s="1">
        <f t="shared" si="122"/>
        <v>60045.141894566084</v>
      </c>
      <c r="S110" s="1">
        <f t="shared" si="122"/>
        <v>67690.50824685549</v>
      </c>
      <c r="T110" s="1">
        <f t="shared" si="122"/>
        <v>75680.957573886408</v>
      </c>
      <c r="U110" s="1">
        <f t="shared" si="122"/>
        <v>84118.921028379918</v>
      </c>
      <c r="X110" s="2"/>
      <c r="Y110" s="2">
        <v>2085.4279999999999</v>
      </c>
      <c r="Z110" s="2">
        <v>2760.5410000000002</v>
      </c>
      <c r="AA110" s="2">
        <v>3999.8029999999999</v>
      </c>
      <c r="AB110" s="2">
        <v>5037.2120000000004</v>
      </c>
      <c r="AC110" s="2">
        <v>7689.58</v>
      </c>
      <c r="AD110" s="2">
        <v>8800.2469999999994</v>
      </c>
      <c r="AE110" s="2">
        <v>12063.795</v>
      </c>
    </row>
    <row r="111" spans="2:31">
      <c r="C111" s="1" t="s">
        <v>98</v>
      </c>
      <c r="F111" s="2">
        <v>0</v>
      </c>
      <c r="G111" s="2">
        <v>0</v>
      </c>
      <c r="H111" s="2">
        <v>0</v>
      </c>
      <c r="I111" s="2">
        <v>0</v>
      </c>
      <c r="J111" s="2">
        <v>4755.8389999999999</v>
      </c>
      <c r="K111" s="2">
        <v>7564.6090000000004</v>
      </c>
      <c r="L111" s="1">
        <f t="shared" ref="L111:U111" si="123">L155</f>
        <v>8151.0875040296305</v>
      </c>
      <c r="M111" s="1">
        <f t="shared" si="123"/>
        <v>8627.9767388226846</v>
      </c>
      <c r="N111" s="1">
        <f t="shared" si="123"/>
        <v>8515.7545357903546</v>
      </c>
      <c r="O111" s="1">
        <f t="shared" si="123"/>
        <v>8424.5021537112752</v>
      </c>
      <c r="P111" s="1">
        <f t="shared" si="123"/>
        <v>8350.3011755616371</v>
      </c>
      <c r="Q111" s="1">
        <f t="shared" si="123"/>
        <v>8289.9653790276698</v>
      </c>
      <c r="R111" s="1">
        <f t="shared" si="123"/>
        <v>7740.9039187320004</v>
      </c>
      <c r="S111" s="1">
        <f t="shared" si="123"/>
        <v>7294.4399855176143</v>
      </c>
      <c r="T111" s="1">
        <f t="shared" si="123"/>
        <v>6931.4022236722976</v>
      </c>
      <c r="U111" s="1">
        <f t="shared" si="123"/>
        <v>6636.2016336117131</v>
      </c>
      <c r="X111" s="2"/>
      <c r="Y111" s="2">
        <v>0</v>
      </c>
      <c r="Z111" s="2">
        <v>0</v>
      </c>
      <c r="AA111" s="2">
        <v>0</v>
      </c>
      <c r="AB111" s="2">
        <v>4019.7060000000001</v>
      </c>
      <c r="AC111" s="2">
        <v>4755.8389999999999</v>
      </c>
      <c r="AD111" s="2">
        <v>5729.3519999999999</v>
      </c>
      <c r="AE111" s="2">
        <v>7564.6090000000004</v>
      </c>
    </row>
    <row r="112" spans="2:31">
      <c r="C112" s="1" t="s">
        <v>99</v>
      </c>
      <c r="F112" s="2">
        <v>0</v>
      </c>
      <c r="G112" s="2">
        <v>0</v>
      </c>
      <c r="H112" s="2">
        <v>0</v>
      </c>
      <c r="I112" s="2">
        <v>0</v>
      </c>
      <c r="J112" s="2">
        <v>92.602000000000004</v>
      </c>
      <c r="K112" s="2">
        <v>62.383000000000003</v>
      </c>
      <c r="L112" s="1">
        <f t="shared" ref="L112:U112" si="124">K112</f>
        <v>62.383000000000003</v>
      </c>
      <c r="M112" s="1">
        <f t="shared" si="124"/>
        <v>62.383000000000003</v>
      </c>
      <c r="N112" s="1">
        <f t="shared" si="124"/>
        <v>62.383000000000003</v>
      </c>
      <c r="O112" s="1">
        <f t="shared" si="124"/>
        <v>62.383000000000003</v>
      </c>
      <c r="P112" s="1">
        <f t="shared" si="124"/>
        <v>62.383000000000003</v>
      </c>
      <c r="Q112" s="1">
        <f t="shared" si="124"/>
        <v>62.383000000000003</v>
      </c>
      <c r="R112" s="1">
        <f t="shared" si="124"/>
        <v>62.383000000000003</v>
      </c>
      <c r="S112" s="1">
        <f t="shared" si="124"/>
        <v>62.383000000000003</v>
      </c>
      <c r="T112" s="1">
        <f t="shared" si="124"/>
        <v>62.383000000000003</v>
      </c>
      <c r="U112" s="1">
        <f t="shared" si="124"/>
        <v>62.383000000000003</v>
      </c>
      <c r="X112" s="2"/>
      <c r="Y112" s="2">
        <v>0</v>
      </c>
      <c r="Z112" s="2">
        <v>0</v>
      </c>
      <c r="AA112" s="2">
        <v>0</v>
      </c>
      <c r="AB112" s="2">
        <v>92.602000000000004</v>
      </c>
      <c r="AC112" s="2">
        <v>92.602000000000004</v>
      </c>
      <c r="AD112" s="2">
        <v>92.602000000000004</v>
      </c>
      <c r="AE112" s="2">
        <v>62.383000000000003</v>
      </c>
    </row>
    <row r="113" spans="3:31">
      <c r="C113" s="1" t="s">
        <v>100</v>
      </c>
      <c r="F113" s="2">
        <v>19.219000000000001</v>
      </c>
      <c r="G113" s="2">
        <v>14.954000000000001</v>
      </c>
      <c r="H113" s="2">
        <v>10.619</v>
      </c>
      <c r="I113" s="2">
        <v>51.816000000000003</v>
      </c>
      <c r="J113" s="2">
        <v>111.864</v>
      </c>
      <c r="K113" s="2">
        <v>91.563000000000002</v>
      </c>
      <c r="L113" s="1">
        <f t="shared" ref="L113:U113" si="125">L145</f>
        <v>122.30189905583359</v>
      </c>
      <c r="M113" s="1">
        <f t="shared" si="125"/>
        <v>124.72038016077127</v>
      </c>
      <c r="N113" s="1">
        <f t="shared" si="125"/>
        <v>126.19795188261418</v>
      </c>
      <c r="O113" s="1">
        <f t="shared" si="125"/>
        <v>127.1006747481071</v>
      </c>
      <c r="P113" s="1">
        <f t="shared" si="125"/>
        <v>127.6521935406212</v>
      </c>
      <c r="Q113" s="1">
        <f t="shared" si="125"/>
        <v>127.98914410443581</v>
      </c>
      <c r="R113" s="1">
        <f t="shared" si="125"/>
        <v>128.19500414764019</v>
      </c>
      <c r="S113" s="1">
        <f t="shared" si="125"/>
        <v>128.32077439983493</v>
      </c>
      <c r="T113" s="1">
        <f t="shared" si="125"/>
        <v>128.39761377133655</v>
      </c>
      <c r="U113" s="1">
        <f t="shared" si="125"/>
        <v>128.4445588073028</v>
      </c>
      <c r="X113" s="2"/>
      <c r="Y113" s="2">
        <v>10.619</v>
      </c>
      <c r="Z113" s="2">
        <v>31.876000000000001</v>
      </c>
      <c r="AA113" s="2">
        <v>51.816000000000003</v>
      </c>
      <c r="AB113" s="2">
        <v>144.65899999999999</v>
      </c>
      <c r="AC113" s="2">
        <v>111.864</v>
      </c>
      <c r="AD113" s="2">
        <v>103.015</v>
      </c>
      <c r="AE113" s="2">
        <v>91.563000000000002</v>
      </c>
    </row>
    <row r="114" spans="3:31">
      <c r="C114" s="1" t="s">
        <v>101</v>
      </c>
      <c r="F114" s="2">
        <v>0</v>
      </c>
      <c r="G114" s="2">
        <v>0</v>
      </c>
      <c r="H114" s="2">
        <v>4.4820000000000002</v>
      </c>
      <c r="I114" s="2">
        <f>34.531+65.331</f>
        <v>99.861999999999995</v>
      </c>
      <c r="J114" s="2">
        <f>169.417+56.741</f>
        <v>226.15800000000002</v>
      </c>
      <c r="K114" s="2">
        <f>268.526+32.806</f>
        <v>301.33199999999999</v>
      </c>
      <c r="L114" s="1">
        <f t="shared" ref="L114:U120" si="126">K114</f>
        <v>301.33199999999999</v>
      </c>
      <c r="M114" s="1">
        <f t="shared" si="126"/>
        <v>301.33199999999999</v>
      </c>
      <c r="N114" s="1">
        <f t="shared" si="126"/>
        <v>301.33199999999999</v>
      </c>
      <c r="O114" s="1">
        <f t="shared" si="126"/>
        <v>301.33199999999999</v>
      </c>
      <c r="P114" s="1">
        <f t="shared" si="126"/>
        <v>301.33199999999999</v>
      </c>
      <c r="Q114" s="1">
        <f t="shared" si="126"/>
        <v>301.33199999999999</v>
      </c>
      <c r="R114" s="1">
        <f t="shared" si="126"/>
        <v>301.33199999999999</v>
      </c>
      <c r="S114" s="1">
        <f t="shared" si="126"/>
        <v>301.33199999999999</v>
      </c>
      <c r="T114" s="1">
        <f t="shared" si="126"/>
        <v>301.33199999999999</v>
      </c>
      <c r="U114" s="1">
        <f t="shared" si="126"/>
        <v>301.33199999999999</v>
      </c>
      <c r="X114" s="2"/>
      <c r="Y114" s="2">
        <v>4.4820000000000002</v>
      </c>
      <c r="Z114" s="2">
        <v>9.6869999999999994</v>
      </c>
      <c r="AA114" s="2">
        <f>34.531+65.331</f>
        <v>99.861999999999995</v>
      </c>
      <c r="AB114" s="2">
        <f>115.984+61.792</f>
        <v>177.77600000000001</v>
      </c>
      <c r="AC114" s="2">
        <f>169.417+56.741</f>
        <v>226.15800000000002</v>
      </c>
      <c r="AD114" s="2">
        <f>214.869+53.535</f>
        <v>268.404</v>
      </c>
      <c r="AE114" s="2">
        <f>268.526+32.806</f>
        <v>301.33199999999999</v>
      </c>
    </row>
    <row r="115" spans="3:31">
      <c r="C115" s="23" t="s">
        <v>102</v>
      </c>
      <c r="F115" s="2">
        <v>305.31900000000002</v>
      </c>
      <c r="G115" s="2">
        <v>410.51799999999997</v>
      </c>
      <c r="H115" s="2">
        <v>0</v>
      </c>
      <c r="I115" s="2">
        <v>0</v>
      </c>
      <c r="J115" s="2">
        <v>0</v>
      </c>
      <c r="K115" s="2">
        <v>0</v>
      </c>
      <c r="L115" s="3">
        <f t="shared" si="126"/>
        <v>0</v>
      </c>
      <c r="M115" s="3">
        <f t="shared" si="126"/>
        <v>0</v>
      </c>
      <c r="N115" s="3">
        <f t="shared" si="126"/>
        <v>0</v>
      </c>
      <c r="O115" s="3">
        <f t="shared" si="126"/>
        <v>0</v>
      </c>
      <c r="P115" s="3">
        <f t="shared" si="126"/>
        <v>0</v>
      </c>
      <c r="Q115" s="3">
        <f t="shared" si="126"/>
        <v>0</v>
      </c>
      <c r="R115" s="3">
        <f t="shared" si="126"/>
        <v>0</v>
      </c>
      <c r="S115" s="3">
        <f t="shared" si="126"/>
        <v>0</v>
      </c>
      <c r="T115" s="3">
        <f t="shared" si="126"/>
        <v>0</v>
      </c>
      <c r="U115" s="3">
        <f t="shared" si="126"/>
        <v>0</v>
      </c>
      <c r="X115" s="2"/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</row>
    <row r="116" spans="3:31">
      <c r="C116" s="1" t="s">
        <v>103</v>
      </c>
      <c r="F116" s="2">
        <v>6.4939999999999998</v>
      </c>
      <c r="G116" s="2">
        <v>6.9370000000000003</v>
      </c>
      <c r="H116" s="2">
        <v>0</v>
      </c>
      <c r="I116" s="2">
        <v>12.585000000000001</v>
      </c>
      <c r="J116" s="2">
        <v>44.267000000000003</v>
      </c>
      <c r="K116" s="2">
        <v>86.998999999999995</v>
      </c>
      <c r="L116" s="1">
        <f t="shared" si="126"/>
        <v>86.998999999999995</v>
      </c>
      <c r="M116" s="1">
        <f t="shared" si="126"/>
        <v>86.998999999999995</v>
      </c>
      <c r="N116" s="1">
        <f t="shared" si="126"/>
        <v>86.998999999999995</v>
      </c>
      <c r="O116" s="1">
        <f t="shared" si="126"/>
        <v>86.998999999999995</v>
      </c>
      <c r="P116" s="1">
        <f t="shared" si="126"/>
        <v>86.998999999999995</v>
      </c>
      <c r="Q116" s="1">
        <f t="shared" si="126"/>
        <v>86.998999999999995</v>
      </c>
      <c r="R116" s="1">
        <f t="shared" si="126"/>
        <v>86.998999999999995</v>
      </c>
      <c r="S116" s="1">
        <f t="shared" si="126"/>
        <v>86.998999999999995</v>
      </c>
      <c r="T116" s="1">
        <f t="shared" si="126"/>
        <v>86.998999999999995</v>
      </c>
      <c r="U116" s="1">
        <f t="shared" si="126"/>
        <v>86.998999999999995</v>
      </c>
      <c r="X116" s="2"/>
      <c r="Y116" s="2">
        <v>0</v>
      </c>
      <c r="Z116" s="2">
        <v>12.585000000000001</v>
      </c>
      <c r="AA116" s="2">
        <v>12.585000000000001</v>
      </c>
      <c r="AB116" s="2">
        <v>33.177999999999997</v>
      </c>
      <c r="AC116" s="2">
        <v>44.267000000000003</v>
      </c>
      <c r="AD116" s="2">
        <v>23.678999999999998</v>
      </c>
      <c r="AE116" s="2">
        <v>86.998999999999995</v>
      </c>
    </row>
    <row r="117" spans="3:31">
      <c r="C117" s="1" t="s">
        <v>104</v>
      </c>
      <c r="F117" s="2">
        <v>0</v>
      </c>
      <c r="G117" s="2">
        <v>0</v>
      </c>
      <c r="H117" s="2">
        <v>0</v>
      </c>
      <c r="I117" s="2">
        <v>0</v>
      </c>
      <c r="J117" s="2">
        <v>48.832999999999998</v>
      </c>
      <c r="K117" s="2">
        <v>0</v>
      </c>
      <c r="L117" s="1">
        <f t="shared" si="126"/>
        <v>0</v>
      </c>
      <c r="M117" s="1">
        <f t="shared" si="126"/>
        <v>0</v>
      </c>
      <c r="N117" s="1">
        <f t="shared" si="126"/>
        <v>0</v>
      </c>
      <c r="O117" s="1">
        <f t="shared" si="126"/>
        <v>0</v>
      </c>
      <c r="P117" s="1">
        <f t="shared" si="126"/>
        <v>0</v>
      </c>
      <c r="Q117" s="1">
        <f t="shared" si="126"/>
        <v>0</v>
      </c>
      <c r="R117" s="1">
        <f t="shared" si="126"/>
        <v>0</v>
      </c>
      <c r="S117" s="1">
        <f t="shared" si="126"/>
        <v>0</v>
      </c>
      <c r="T117" s="1">
        <f t="shared" si="126"/>
        <v>0</v>
      </c>
      <c r="U117" s="1">
        <f t="shared" si="126"/>
        <v>0</v>
      </c>
      <c r="X117" s="2"/>
      <c r="Y117" s="2">
        <v>0</v>
      </c>
      <c r="Z117" s="2">
        <v>0</v>
      </c>
      <c r="AA117" s="2">
        <v>0</v>
      </c>
      <c r="AB117" s="2">
        <v>0</v>
      </c>
      <c r="AC117" s="2">
        <v>48.832999999999998</v>
      </c>
      <c r="AD117" s="2">
        <v>49.557000000000002</v>
      </c>
      <c r="AE117" s="2">
        <v>0</v>
      </c>
    </row>
    <row r="118" spans="3:31">
      <c r="C118" s="1" t="s">
        <v>105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52.414000000000001</v>
      </c>
      <c r="L118" s="1">
        <f t="shared" si="126"/>
        <v>52.414000000000001</v>
      </c>
      <c r="M118" s="1">
        <f t="shared" si="126"/>
        <v>52.414000000000001</v>
      </c>
      <c r="N118" s="1">
        <f t="shared" si="126"/>
        <v>52.414000000000001</v>
      </c>
      <c r="O118" s="1">
        <f t="shared" si="126"/>
        <v>52.414000000000001</v>
      </c>
      <c r="P118" s="1">
        <f t="shared" si="126"/>
        <v>52.414000000000001</v>
      </c>
      <c r="Q118" s="1">
        <f t="shared" si="126"/>
        <v>52.414000000000001</v>
      </c>
      <c r="R118" s="1">
        <f t="shared" si="126"/>
        <v>52.414000000000001</v>
      </c>
      <c r="S118" s="1">
        <f t="shared" si="126"/>
        <v>52.414000000000001</v>
      </c>
      <c r="T118" s="1">
        <f t="shared" si="126"/>
        <v>52.414000000000001</v>
      </c>
      <c r="U118" s="1">
        <f t="shared" si="126"/>
        <v>52.414000000000001</v>
      </c>
      <c r="X118" s="2"/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52.414000000000001</v>
      </c>
    </row>
    <row r="119" spans="3:31">
      <c r="C119" s="23" t="s">
        <v>106</v>
      </c>
      <c r="F119" s="2">
        <v>42.177</v>
      </c>
      <c r="G119" s="2">
        <v>49</v>
      </c>
      <c r="H119" s="2">
        <v>52.753999999999998</v>
      </c>
      <c r="I119" s="2">
        <v>91.626000000000005</v>
      </c>
      <c r="J119" s="2">
        <v>170.16900000000001</v>
      </c>
      <c r="K119" s="2">
        <v>353.44299999999998</v>
      </c>
      <c r="L119" s="3">
        <f t="shared" si="126"/>
        <v>353.44299999999998</v>
      </c>
      <c r="M119" s="3">
        <f t="shared" si="126"/>
        <v>353.44299999999998</v>
      </c>
      <c r="N119" s="3">
        <f t="shared" si="126"/>
        <v>353.44299999999998</v>
      </c>
      <c r="O119" s="3">
        <f t="shared" si="126"/>
        <v>353.44299999999998</v>
      </c>
      <c r="P119" s="3">
        <f t="shared" si="126"/>
        <v>353.44299999999998</v>
      </c>
      <c r="Q119" s="3">
        <f t="shared" si="126"/>
        <v>353.44299999999998</v>
      </c>
      <c r="R119" s="3">
        <f t="shared" si="126"/>
        <v>353.44299999999998</v>
      </c>
      <c r="S119" s="3">
        <f t="shared" si="126"/>
        <v>353.44299999999998</v>
      </c>
      <c r="T119" s="3">
        <f t="shared" si="126"/>
        <v>353.44299999999998</v>
      </c>
      <c r="U119" s="3">
        <f t="shared" si="126"/>
        <v>353.44299999999998</v>
      </c>
      <c r="X119" s="2"/>
      <c r="Y119" s="2">
        <v>52.753999999999998</v>
      </c>
      <c r="Z119" s="2">
        <v>67.42</v>
      </c>
      <c r="AA119" s="2">
        <v>91.626000000000005</v>
      </c>
      <c r="AB119" s="2">
        <v>155.58799999999999</v>
      </c>
      <c r="AC119" s="2">
        <v>170.16900000000001</v>
      </c>
      <c r="AD119" s="2">
        <v>216.405</v>
      </c>
      <c r="AE119" s="2">
        <v>353.44299999999998</v>
      </c>
    </row>
    <row r="120" spans="3:31">
      <c r="C120" s="1" t="s">
        <v>107</v>
      </c>
      <c r="F120" s="2">
        <v>0</v>
      </c>
      <c r="G120" s="2">
        <v>0</v>
      </c>
      <c r="H120" s="2">
        <v>0</v>
      </c>
      <c r="I120" s="2">
        <v>1720.2159999999999</v>
      </c>
      <c r="J120" s="2">
        <v>0</v>
      </c>
      <c r="K120" s="2">
        <f t="shared" ref="K120" si="127">J120</f>
        <v>0</v>
      </c>
      <c r="L120" s="1">
        <f t="shared" si="126"/>
        <v>0</v>
      </c>
      <c r="M120" s="1">
        <f t="shared" si="126"/>
        <v>0</v>
      </c>
      <c r="N120" s="1">
        <f t="shared" si="126"/>
        <v>0</v>
      </c>
      <c r="O120" s="1">
        <f t="shared" si="126"/>
        <v>0</v>
      </c>
      <c r="P120" s="1">
        <f t="shared" si="126"/>
        <v>0</v>
      </c>
      <c r="Q120" s="1">
        <f t="shared" si="126"/>
        <v>0</v>
      </c>
      <c r="R120" s="1">
        <f t="shared" si="126"/>
        <v>0</v>
      </c>
      <c r="S120" s="1">
        <f t="shared" si="126"/>
        <v>0</v>
      </c>
      <c r="T120" s="1">
        <f t="shared" si="126"/>
        <v>0</v>
      </c>
      <c r="U120" s="1">
        <f t="shared" si="126"/>
        <v>0</v>
      </c>
      <c r="X120" s="2"/>
      <c r="Y120" s="2">
        <v>0</v>
      </c>
      <c r="Z120" s="2">
        <v>0</v>
      </c>
      <c r="AA120" s="2">
        <v>1720.2159999999999</v>
      </c>
      <c r="AB120" s="2">
        <v>0</v>
      </c>
      <c r="AC120" s="2">
        <v>0</v>
      </c>
      <c r="AD120" s="2">
        <v>0</v>
      </c>
      <c r="AE120" s="2">
        <f t="shared" ref="AE120" si="128">AD120</f>
        <v>0</v>
      </c>
    </row>
    <row r="121" spans="3:31">
      <c r="C121" s="23" t="s">
        <v>108</v>
      </c>
      <c r="F121" s="2">
        <v>52.719000000000001</v>
      </c>
      <c r="G121" s="2">
        <v>68.397999999999996</v>
      </c>
      <c r="H121" s="2">
        <v>120.848</v>
      </c>
      <c r="I121" s="2">
        <v>232.749</v>
      </c>
      <c r="J121" s="2">
        <v>269.26900000000001</v>
      </c>
      <c r="K121" s="2">
        <v>352.29</v>
      </c>
      <c r="L121" s="1">
        <f t="shared" ref="L121:U121" si="129">L122*L321</f>
        <v>460.85394453004625</v>
      </c>
      <c r="M121" s="1">
        <f t="shared" si="129"/>
        <v>569.41788906009253</v>
      </c>
      <c r="N121" s="1">
        <f t="shared" si="129"/>
        <v>650.84084745762721</v>
      </c>
      <c r="O121" s="1">
        <f t="shared" si="129"/>
        <v>732.26380585516188</v>
      </c>
      <c r="P121" s="1">
        <f t="shared" si="129"/>
        <v>813.68676425269655</v>
      </c>
      <c r="Q121" s="1">
        <f t="shared" si="129"/>
        <v>895.10972265023122</v>
      </c>
      <c r="R121" s="1">
        <f t="shared" si="129"/>
        <v>949.39169491525433</v>
      </c>
      <c r="S121" s="1">
        <f t="shared" si="129"/>
        <v>1003.6736671802774</v>
      </c>
      <c r="T121" s="1">
        <f t="shared" si="129"/>
        <v>1057.9556394453004</v>
      </c>
      <c r="U121" s="1">
        <f t="shared" si="129"/>
        <v>1112.2376117103236</v>
      </c>
      <c r="X121" s="2"/>
      <c r="Y121" s="2">
        <v>120.848</v>
      </c>
      <c r="Z121" s="2">
        <v>163.96199999999999</v>
      </c>
      <c r="AA121" s="2">
        <v>232.749</v>
      </c>
      <c r="AB121" s="2">
        <v>229.72900000000001</v>
      </c>
      <c r="AC121" s="2">
        <v>269.26900000000001</v>
      </c>
      <c r="AD121" s="2">
        <v>301.26600000000002</v>
      </c>
      <c r="AE121" s="2">
        <v>352.29</v>
      </c>
    </row>
    <row r="122" spans="3:31" s="10" customFormat="1">
      <c r="D122" s="10" t="s">
        <v>109</v>
      </c>
      <c r="F122" s="15">
        <f t="shared" ref="F122:K122" si="130">F121/F321</f>
        <v>0.36108904109589041</v>
      </c>
      <c r="G122" s="15">
        <f t="shared" si="130"/>
        <v>0.388625</v>
      </c>
      <c r="H122" s="15">
        <f t="shared" si="130"/>
        <v>0.44266666666666665</v>
      </c>
      <c r="I122" s="15">
        <f t="shared" si="130"/>
        <v>0.49946137339055791</v>
      </c>
      <c r="J122" s="15">
        <f t="shared" si="130"/>
        <v>0.35061067708333332</v>
      </c>
      <c r="K122" s="15">
        <f t="shared" si="130"/>
        <v>0.27140986132511558</v>
      </c>
      <c r="L122" s="16">
        <f t="shared" ref="L122:U123" si="131">K122</f>
        <v>0.27140986132511558</v>
      </c>
      <c r="M122" s="16">
        <f t="shared" si="131"/>
        <v>0.27140986132511558</v>
      </c>
      <c r="N122" s="16">
        <f t="shared" si="131"/>
        <v>0.27140986132511558</v>
      </c>
      <c r="O122" s="16">
        <f t="shared" si="131"/>
        <v>0.27140986132511558</v>
      </c>
      <c r="P122" s="16">
        <f t="shared" si="131"/>
        <v>0.27140986132511558</v>
      </c>
      <c r="Q122" s="16">
        <f t="shared" si="131"/>
        <v>0.27140986132511558</v>
      </c>
      <c r="R122" s="16">
        <f t="shared" si="131"/>
        <v>0.27140986132511558</v>
      </c>
      <c r="S122" s="16">
        <f t="shared" si="131"/>
        <v>0.27140986132511558</v>
      </c>
      <c r="T122" s="16">
        <f t="shared" si="131"/>
        <v>0.27140986132511558</v>
      </c>
      <c r="U122" s="16">
        <f t="shared" si="131"/>
        <v>0.27140986132511558</v>
      </c>
      <c r="AE122" s="15"/>
    </row>
    <row r="123" spans="3:31">
      <c r="C123" s="1" t="s">
        <v>110</v>
      </c>
      <c r="F123" s="2">
        <v>0</v>
      </c>
      <c r="G123" s="2">
        <v>0</v>
      </c>
      <c r="H123" s="2">
        <v>0</v>
      </c>
      <c r="I123" s="2">
        <v>0</v>
      </c>
      <c r="J123" s="2">
        <v>5.0599999999999996</v>
      </c>
      <c r="K123" s="2">
        <v>5.0599999999999996</v>
      </c>
      <c r="L123" s="1">
        <f t="shared" si="131"/>
        <v>5.0599999999999996</v>
      </c>
      <c r="M123" s="1">
        <f t="shared" si="131"/>
        <v>5.0599999999999996</v>
      </c>
      <c r="N123" s="1">
        <f t="shared" si="131"/>
        <v>5.0599999999999996</v>
      </c>
      <c r="O123" s="1">
        <f t="shared" si="131"/>
        <v>5.0599999999999996</v>
      </c>
      <c r="P123" s="1">
        <f t="shared" si="131"/>
        <v>5.0599999999999996</v>
      </c>
      <c r="Q123" s="1">
        <f t="shared" si="131"/>
        <v>5.0599999999999996</v>
      </c>
      <c r="R123" s="1">
        <f t="shared" si="131"/>
        <v>5.0599999999999996</v>
      </c>
      <c r="S123" s="1">
        <f t="shared" si="131"/>
        <v>5.0599999999999996</v>
      </c>
      <c r="T123" s="1">
        <f t="shared" si="131"/>
        <v>5.0599999999999996</v>
      </c>
      <c r="U123" s="1">
        <f t="shared" si="131"/>
        <v>5.0599999999999996</v>
      </c>
      <c r="X123" s="2"/>
      <c r="Y123" s="2">
        <v>0</v>
      </c>
      <c r="Z123" s="2">
        <v>0</v>
      </c>
      <c r="AA123" s="2">
        <v>0</v>
      </c>
      <c r="AB123" s="2">
        <v>145.595</v>
      </c>
      <c r="AC123" s="2">
        <v>5.0599999999999996</v>
      </c>
      <c r="AD123" s="2">
        <v>5.0599999999999996</v>
      </c>
      <c r="AE123" s="2">
        <v>5.0599999999999996</v>
      </c>
    </row>
    <row r="125" spans="3:31" s="24" customFormat="1">
      <c r="C125" s="24" t="s">
        <v>111</v>
      </c>
    </row>
    <row r="126" spans="3:31" outlineLevel="1">
      <c r="C126" s="1" t="s">
        <v>112</v>
      </c>
      <c r="F126" s="2">
        <f>1091.336-446.127</f>
        <v>645.20900000000006</v>
      </c>
      <c r="G126" s="1">
        <f t="shared" ref="G126:I126" si="132">F134</f>
        <v>796.62800000000004</v>
      </c>
      <c r="H126" s="1">
        <f t="shared" si="132"/>
        <v>943.04100000000005</v>
      </c>
      <c r="I126" s="1">
        <f t="shared" si="132"/>
        <v>2085.4279999999999</v>
      </c>
      <c r="J126" s="1">
        <f>I134</f>
        <v>3999.8029999999999</v>
      </c>
      <c r="K126" s="1">
        <f t="shared" ref="K126:U126" si="133">J134</f>
        <v>7689.58</v>
      </c>
      <c r="L126" s="1">
        <f t="shared" si="133"/>
        <v>13320.156974160705</v>
      </c>
      <c r="M126" s="1">
        <f t="shared" si="133"/>
        <v>18889.587483856129</v>
      </c>
      <c r="N126" s="1">
        <f t="shared" si="133"/>
        <v>25161.248863667868</v>
      </c>
      <c r="O126" s="1">
        <f t="shared" si="133"/>
        <v>31344.382872813658</v>
      </c>
      <c r="P126" s="1">
        <f t="shared" si="133"/>
        <v>37930.982652688035</v>
      </c>
      <c r="Q126" s="1">
        <f t="shared" si="133"/>
        <v>44998.780591366689</v>
      </c>
      <c r="R126" s="1">
        <f t="shared" si="133"/>
        <v>52615.982249390443</v>
      </c>
      <c r="S126" s="1">
        <f t="shared" si="133"/>
        <v>60045.141894566084</v>
      </c>
      <c r="T126" s="1">
        <f t="shared" si="133"/>
        <v>67690.50824685549</v>
      </c>
      <c r="U126" s="1">
        <f t="shared" si="133"/>
        <v>75680.957573886408</v>
      </c>
    </row>
    <row r="127" spans="3:31" outlineLevel="1">
      <c r="C127" s="1" t="s">
        <v>113</v>
      </c>
      <c r="F127" s="1">
        <f t="shared" ref="F127:I127" si="134">-F249</f>
        <v>399.92500000000001</v>
      </c>
      <c r="G127" s="1">
        <f t="shared" si="134"/>
        <v>429.46600000000001</v>
      </c>
      <c r="H127" s="1">
        <f t="shared" si="134"/>
        <v>1242.904</v>
      </c>
      <c r="I127" s="1">
        <f t="shared" si="134"/>
        <v>2508.2629999999999</v>
      </c>
      <c r="J127" s="1">
        <f>-J249</f>
        <v>4880.8069999999998</v>
      </c>
      <c r="K127" s="1">
        <f>K128+K129</f>
        <v>8001.2316841201718</v>
      </c>
      <c r="L127" s="1">
        <f t="shared" ref="L127:U127" si="135">L128+L129</f>
        <v>9675.9607581866949</v>
      </c>
      <c r="M127" s="1">
        <f t="shared" si="135"/>
        <v>12095.21605221191</v>
      </c>
      <c r="N127" s="1">
        <f t="shared" si="135"/>
        <v>13940.206973744178</v>
      </c>
      <c r="O127" s="1">
        <f t="shared" si="135"/>
        <v>16249.898541082206</v>
      </c>
      <c r="P127" s="1">
        <f t="shared" si="135"/>
        <v>18761.708747719676</v>
      </c>
      <c r="Q127" s="1">
        <f t="shared" si="135"/>
        <v>21490.075228668185</v>
      </c>
      <c r="R127" s="1">
        <f t="shared" si="135"/>
        <v>23650.37408584225</v>
      </c>
      <c r="S127" s="1">
        <f t="shared" si="135"/>
        <v>26156.949357152818</v>
      </c>
      <c r="T127" s="1">
        <f t="shared" si="135"/>
        <v>28859.05622037984</v>
      </c>
      <c r="U127" s="1">
        <f t="shared" si="135"/>
        <v>31769.981396536681</v>
      </c>
    </row>
    <row r="128" spans="3:31" outlineLevel="1">
      <c r="D128" s="1" t="s">
        <v>114</v>
      </c>
      <c r="F128" s="3">
        <f t="shared" ref="F128:I128" si="136">F307*9</f>
        <v>324</v>
      </c>
      <c r="G128" s="3">
        <f t="shared" si="136"/>
        <v>288</v>
      </c>
      <c r="H128" s="3">
        <f t="shared" si="136"/>
        <v>882</v>
      </c>
      <c r="I128" s="3">
        <f t="shared" si="136"/>
        <v>1800</v>
      </c>
      <c r="J128" s="3">
        <f>J307*9</f>
        <v>2772</v>
      </c>
      <c r="K128" s="3">
        <f>K307*8</f>
        <v>4352</v>
      </c>
      <c r="L128" s="3">
        <f t="shared" ref="L128:U128" si="137">L307*8</f>
        <v>3200</v>
      </c>
      <c r="M128" s="3">
        <f t="shared" si="137"/>
        <v>3200</v>
      </c>
      <c r="N128" s="3">
        <f t="shared" si="137"/>
        <v>2400</v>
      </c>
      <c r="O128" s="3">
        <f t="shared" si="137"/>
        <v>2400</v>
      </c>
      <c r="P128" s="3">
        <f>P307*8</f>
        <v>2400</v>
      </c>
      <c r="Q128" s="3">
        <f t="shared" si="137"/>
        <v>2400</v>
      </c>
      <c r="R128" s="3">
        <f t="shared" si="137"/>
        <v>1600</v>
      </c>
      <c r="S128" s="3">
        <f t="shared" si="137"/>
        <v>1600</v>
      </c>
      <c r="T128" s="3">
        <f>T307*8</f>
        <v>1600</v>
      </c>
      <c r="U128" s="3">
        <f t="shared" si="137"/>
        <v>1600</v>
      </c>
    </row>
    <row r="129" spans="3:21" outlineLevel="1">
      <c r="D129" s="1" t="s">
        <v>115</v>
      </c>
      <c r="F129" s="1">
        <f>F127-F128</f>
        <v>75.925000000000011</v>
      </c>
      <c r="G129" s="1">
        <f t="shared" ref="G129:J129" si="138">G127-G128</f>
        <v>141.46600000000001</v>
      </c>
      <c r="H129" s="1">
        <f t="shared" si="138"/>
        <v>360.904</v>
      </c>
      <c r="I129" s="1">
        <f t="shared" si="138"/>
        <v>708.26299999999992</v>
      </c>
      <c r="J129" s="1">
        <f t="shared" si="138"/>
        <v>2108.8069999999998</v>
      </c>
      <c r="K129" s="1">
        <f t="shared" ref="K129:U129" si="139">K130*K306</f>
        <v>3649.2316841201714</v>
      </c>
      <c r="L129" s="1">
        <f t="shared" si="139"/>
        <v>6475.9607581866949</v>
      </c>
      <c r="M129" s="1">
        <f t="shared" si="139"/>
        <v>8895.2160522119102</v>
      </c>
      <c r="N129" s="1">
        <f t="shared" si="139"/>
        <v>11540.206973744178</v>
      </c>
      <c r="O129" s="1">
        <f t="shared" si="139"/>
        <v>13849.898541082206</v>
      </c>
      <c r="P129" s="1">
        <f t="shared" si="139"/>
        <v>16361.708747719675</v>
      </c>
      <c r="Q129" s="1">
        <f t="shared" si="139"/>
        <v>19090.075228668185</v>
      </c>
      <c r="R129" s="1">
        <f t="shared" si="139"/>
        <v>22050.37408584225</v>
      </c>
      <c r="S129" s="1">
        <f t="shared" si="139"/>
        <v>24556.949357152818</v>
      </c>
      <c r="T129" s="1">
        <f t="shared" si="139"/>
        <v>27259.05622037984</v>
      </c>
      <c r="U129" s="1">
        <f t="shared" si="139"/>
        <v>30169.981396536681</v>
      </c>
    </row>
    <row r="130" spans="3:21" s="10" customFormat="1" outlineLevel="1">
      <c r="E130" s="10" t="s">
        <v>116</v>
      </c>
      <c r="F130" s="15">
        <f>F129/F306</f>
        <v>0.67790178571428583</v>
      </c>
      <c r="G130" s="15">
        <f>G129/G306</f>
        <v>0.96894520547945207</v>
      </c>
      <c r="H130" s="15">
        <f>H129/H306</f>
        <v>2.0505909090909089</v>
      </c>
      <c r="I130" s="15">
        <f>I129/I306</f>
        <v>2.5943699633699633</v>
      </c>
      <c r="J130" s="15">
        <f>J129/J306</f>
        <v>4.5253369098712444</v>
      </c>
      <c r="K130" s="16">
        <f>J130*(1+5%)</f>
        <v>4.7516037553648065</v>
      </c>
      <c r="L130" s="16">
        <f t="shared" ref="L130:U130" si="140">K130*(1+5%)</f>
        <v>4.9891839431330469</v>
      </c>
      <c r="M130" s="16">
        <f t="shared" si="140"/>
        <v>5.2386431402896996</v>
      </c>
      <c r="N130" s="16">
        <f t="shared" si="140"/>
        <v>5.5005752973041844</v>
      </c>
      <c r="O130" s="16">
        <f t="shared" si="140"/>
        <v>5.7756040621693936</v>
      </c>
      <c r="P130" s="16">
        <f t="shared" si="140"/>
        <v>6.0643842652778632</v>
      </c>
      <c r="Q130" s="16">
        <f t="shared" si="140"/>
        <v>6.3676034785417563</v>
      </c>
      <c r="R130" s="16">
        <f t="shared" si="140"/>
        <v>6.6859836524688445</v>
      </c>
      <c r="S130" s="16">
        <f t="shared" si="140"/>
        <v>7.0202828350922868</v>
      </c>
      <c r="T130" s="16">
        <f t="shared" si="140"/>
        <v>7.3712969768469012</v>
      </c>
      <c r="U130" s="16">
        <f t="shared" si="140"/>
        <v>7.7398618256892462</v>
      </c>
    </row>
    <row r="131" spans="3:21" outlineLevel="1">
      <c r="C131" s="1" t="s">
        <v>52</v>
      </c>
      <c r="F131" s="25">
        <f t="shared" ref="F131:I131" si="141">-F238</f>
        <v>-236.04900000000001</v>
      </c>
      <c r="G131" s="25">
        <f t="shared" si="141"/>
        <v>-281.39499999999998</v>
      </c>
      <c r="H131" s="25">
        <f t="shared" si="141"/>
        <v>-355.37700000000001</v>
      </c>
      <c r="I131" s="25">
        <f t="shared" si="141"/>
        <v>-679.59</v>
      </c>
      <c r="J131" s="25">
        <f>-J238</f>
        <v>-1233.117</v>
      </c>
      <c r="K131" s="25">
        <f>K126/K132</f>
        <v>-2370.6547099594654</v>
      </c>
      <c r="L131" s="25">
        <f t="shared" ref="L131:U131" si="142">L126/L132</f>
        <v>-4106.53024849127</v>
      </c>
      <c r="M131" s="25">
        <f t="shared" si="142"/>
        <v>-5823.5546724001697</v>
      </c>
      <c r="N131" s="25">
        <f t="shared" si="142"/>
        <v>-7757.0729645983884</v>
      </c>
      <c r="O131" s="25">
        <f t="shared" si="142"/>
        <v>-9663.2987612078286</v>
      </c>
      <c r="P131" s="25">
        <f t="shared" si="142"/>
        <v>-11693.910809041023</v>
      </c>
      <c r="Q131" s="25">
        <f t="shared" si="142"/>
        <v>-13872.873570644433</v>
      </c>
      <c r="R131" s="25">
        <f t="shared" si="142"/>
        <v>-16221.214440666601</v>
      </c>
      <c r="S131" s="25">
        <f t="shared" si="142"/>
        <v>-18511.583004863402</v>
      </c>
      <c r="T131" s="25">
        <f t="shared" si="142"/>
        <v>-20868.606893348922</v>
      </c>
      <c r="U131" s="25">
        <f t="shared" si="142"/>
        <v>-23332.017942043167</v>
      </c>
    </row>
    <row r="132" spans="3:21" s="26" customFormat="1" outlineLevel="1">
      <c r="C132" s="26" t="s">
        <v>117</v>
      </c>
      <c r="F132" s="27">
        <f t="shared" ref="F132:H132" si="143">F126/F131</f>
        <v>-2.733368919165089</v>
      </c>
      <c r="G132" s="27">
        <f t="shared" si="143"/>
        <v>-2.8309955756143501</v>
      </c>
      <c r="H132" s="27">
        <f t="shared" si="143"/>
        <v>-2.6536354350450368</v>
      </c>
      <c r="I132" s="27">
        <f>I126/I131</f>
        <v>-3.0686561014729468</v>
      </c>
      <c r="J132" s="27">
        <f>J126/J131</f>
        <v>-3.243652467689603</v>
      </c>
      <c r="K132" s="28">
        <f>J132</f>
        <v>-3.243652467689603</v>
      </c>
      <c r="L132" s="28">
        <f t="shared" ref="L132:U132" si="144">K132</f>
        <v>-3.243652467689603</v>
      </c>
      <c r="M132" s="28">
        <f t="shared" si="144"/>
        <v>-3.243652467689603</v>
      </c>
      <c r="N132" s="28">
        <f t="shared" si="144"/>
        <v>-3.243652467689603</v>
      </c>
      <c r="O132" s="28">
        <f t="shared" si="144"/>
        <v>-3.243652467689603</v>
      </c>
      <c r="P132" s="28">
        <f t="shared" si="144"/>
        <v>-3.243652467689603</v>
      </c>
      <c r="Q132" s="28">
        <f t="shared" si="144"/>
        <v>-3.243652467689603</v>
      </c>
      <c r="R132" s="28">
        <f t="shared" si="144"/>
        <v>-3.243652467689603</v>
      </c>
      <c r="S132" s="28">
        <f t="shared" si="144"/>
        <v>-3.243652467689603</v>
      </c>
      <c r="T132" s="28">
        <f t="shared" si="144"/>
        <v>-3.243652467689603</v>
      </c>
      <c r="U132" s="28">
        <f t="shared" si="144"/>
        <v>-3.243652467689603</v>
      </c>
    </row>
    <row r="133" spans="3:21" outlineLevel="1">
      <c r="C133" s="1" t="s">
        <v>118</v>
      </c>
      <c r="F133" s="1">
        <f t="shared" ref="F133:I133" si="145">F126+F127+F131</f>
        <v>809.08500000000004</v>
      </c>
      <c r="G133" s="1">
        <f t="shared" si="145"/>
        <v>944.69900000000007</v>
      </c>
      <c r="H133" s="1">
        <f t="shared" si="145"/>
        <v>1830.5680000000002</v>
      </c>
      <c r="I133" s="1">
        <f t="shared" si="145"/>
        <v>3914.1009999999997</v>
      </c>
      <c r="J133" s="1">
        <f>J126+J127+J131</f>
        <v>7647.4930000000004</v>
      </c>
      <c r="K133" s="1">
        <f>K126+K127+K131</f>
        <v>13320.156974160705</v>
      </c>
      <c r="L133" s="1">
        <f t="shared" ref="L133:U133" si="146">L126+L127+L131</f>
        <v>18889.587483856129</v>
      </c>
      <c r="M133" s="1">
        <f t="shared" si="146"/>
        <v>25161.248863667868</v>
      </c>
      <c r="N133" s="1">
        <f t="shared" si="146"/>
        <v>31344.382872813658</v>
      </c>
      <c r="O133" s="1">
        <f t="shared" si="146"/>
        <v>37930.982652688035</v>
      </c>
      <c r="P133" s="1">
        <f t="shared" si="146"/>
        <v>44998.780591366689</v>
      </c>
      <c r="Q133" s="1">
        <f t="shared" si="146"/>
        <v>52615.982249390443</v>
      </c>
      <c r="R133" s="1">
        <f t="shared" si="146"/>
        <v>60045.141894566084</v>
      </c>
      <c r="S133" s="1">
        <f t="shared" si="146"/>
        <v>67690.50824685549</v>
      </c>
      <c r="T133" s="1">
        <f t="shared" si="146"/>
        <v>75680.957573886408</v>
      </c>
      <c r="U133" s="1">
        <f t="shared" si="146"/>
        <v>84118.921028379918</v>
      </c>
    </row>
    <row r="134" spans="3:21" outlineLevel="1">
      <c r="C134" s="1" t="s">
        <v>119</v>
      </c>
      <c r="F134" s="1">
        <f t="shared" ref="F134:I134" si="147">F110</f>
        <v>796.62800000000004</v>
      </c>
      <c r="G134" s="1">
        <f t="shared" si="147"/>
        <v>943.04100000000005</v>
      </c>
      <c r="H134" s="1">
        <f t="shared" si="147"/>
        <v>2085.4279999999999</v>
      </c>
      <c r="I134" s="1">
        <f t="shared" si="147"/>
        <v>3999.8029999999999</v>
      </c>
      <c r="J134" s="1">
        <f>J110</f>
        <v>7689.58</v>
      </c>
      <c r="K134" s="1">
        <f>K133</f>
        <v>13320.156974160705</v>
      </c>
      <c r="L134" s="1">
        <f t="shared" ref="L134:U134" si="148">L133</f>
        <v>18889.587483856129</v>
      </c>
      <c r="M134" s="1">
        <f t="shared" si="148"/>
        <v>25161.248863667868</v>
      </c>
      <c r="N134" s="1">
        <f t="shared" si="148"/>
        <v>31344.382872813658</v>
      </c>
      <c r="O134" s="1">
        <f t="shared" si="148"/>
        <v>37930.982652688035</v>
      </c>
      <c r="P134" s="1">
        <f t="shared" si="148"/>
        <v>44998.780591366689</v>
      </c>
      <c r="Q134" s="1">
        <f t="shared" si="148"/>
        <v>52615.982249390443</v>
      </c>
      <c r="R134" s="1">
        <f t="shared" si="148"/>
        <v>60045.141894566084</v>
      </c>
      <c r="S134" s="1">
        <f t="shared" si="148"/>
        <v>67690.50824685549</v>
      </c>
      <c r="T134" s="1">
        <f t="shared" si="148"/>
        <v>75680.957573886408</v>
      </c>
      <c r="U134" s="1">
        <f t="shared" si="148"/>
        <v>84118.921028379918</v>
      </c>
    </row>
    <row r="135" spans="3:21" s="29" customFormat="1" outlineLevel="1">
      <c r="C135" s="29" t="s">
        <v>120</v>
      </c>
      <c r="F135" s="29">
        <f>F134-F133</f>
        <v>-12.456999999999994</v>
      </c>
      <c r="G135" s="29">
        <f>G134-G133</f>
        <v>-1.6580000000000155</v>
      </c>
      <c r="H135" s="29">
        <f>H134-H133</f>
        <v>254.85999999999967</v>
      </c>
      <c r="I135" s="29">
        <f>I134-I133</f>
        <v>85.702000000000226</v>
      </c>
      <c r="J135" s="29">
        <f>J134-J133</f>
        <v>42.086999999999534</v>
      </c>
    </row>
    <row r="136" spans="3:21" outlineLevel="1">
      <c r="D136" s="1" t="s">
        <v>121</v>
      </c>
      <c r="F136" s="20">
        <f t="shared" ref="F136:U136" si="149">F134/F288</f>
        <v>5.4563561643835623</v>
      </c>
      <c r="G136" s="20">
        <f t="shared" si="149"/>
        <v>5.3581875000000005</v>
      </c>
      <c r="H136" s="20">
        <f t="shared" si="149"/>
        <v>7.6389304029304022</v>
      </c>
      <c r="I136" s="20">
        <f t="shared" si="149"/>
        <v>8.5832682403433473</v>
      </c>
      <c r="J136" s="20">
        <f t="shared" si="149"/>
        <v>10.012473958333333</v>
      </c>
      <c r="K136" s="20">
        <f t="shared" si="149"/>
        <v>10.26206238379099</v>
      </c>
      <c r="L136" s="20">
        <f t="shared" si="149"/>
        <v>11.124609825592538</v>
      </c>
      <c r="M136" s="20">
        <f t="shared" si="149"/>
        <v>11.992968953130537</v>
      </c>
      <c r="N136" s="20">
        <f t="shared" si="149"/>
        <v>13.071052073733803</v>
      </c>
      <c r="O136" s="20">
        <f t="shared" si="149"/>
        <v>14.058926112931074</v>
      </c>
      <c r="P136" s="20">
        <f t="shared" si="149"/>
        <v>15.00959993040917</v>
      </c>
      <c r="Q136" s="20">
        <f t="shared" si="149"/>
        <v>15.95390607925726</v>
      </c>
      <c r="R136" s="20">
        <f t="shared" si="149"/>
        <v>17.165563720573495</v>
      </c>
      <c r="S136" s="20">
        <f t="shared" si="149"/>
        <v>18.304626351231878</v>
      </c>
      <c r="T136" s="20">
        <f t="shared" si="149"/>
        <v>19.415330316543461</v>
      </c>
      <c r="U136" s="20">
        <f t="shared" si="149"/>
        <v>20.526823091356739</v>
      </c>
    </row>
    <row r="137" spans="3:21" s="8" customFormat="1" outlineLevel="1">
      <c r="E137" s="8" t="s">
        <v>30</v>
      </c>
      <c r="G137" s="8">
        <f t="shared" ref="G137:I137" si="150">G136/F136-1</f>
        <v>-1.7991615911065129E-2</v>
      </c>
      <c r="H137" s="8">
        <f t="shared" si="150"/>
        <v>0.4256556723575653</v>
      </c>
      <c r="I137" s="8">
        <f t="shared" si="150"/>
        <v>0.12362173597637227</v>
      </c>
      <c r="J137" s="8">
        <f>J136/I136-1</f>
        <v>0.1665106667961731</v>
      </c>
      <c r="K137" s="8">
        <f t="shared" ref="K137:U137" si="151">K136/J136-1</f>
        <v>2.4927747777054199E-2</v>
      </c>
      <c r="L137" s="8">
        <f t="shared" si="151"/>
        <v>8.4052055965275319E-2</v>
      </c>
      <c r="M137" s="8">
        <f t="shared" si="151"/>
        <v>7.8057490658262063E-2</v>
      </c>
      <c r="N137" s="8">
        <f t="shared" si="151"/>
        <v>8.9892930167375429E-2</v>
      </c>
      <c r="O137" s="8">
        <f t="shared" si="151"/>
        <v>7.5577239966964749E-2</v>
      </c>
      <c r="P137" s="8">
        <f t="shared" si="151"/>
        <v>6.7620656787127364E-2</v>
      </c>
      <c r="Q137" s="8">
        <f t="shared" si="151"/>
        <v>6.291347892190946E-2</v>
      </c>
      <c r="R137" s="8">
        <f t="shared" si="151"/>
        <v>7.5947397163857566E-2</v>
      </c>
      <c r="S137" s="8">
        <f t="shared" si="151"/>
        <v>6.6357426368303774E-2</v>
      </c>
      <c r="T137" s="8">
        <f t="shared" si="151"/>
        <v>6.0678865768643897E-2</v>
      </c>
      <c r="U137" s="8">
        <f t="shared" si="151"/>
        <v>5.7248203182316937E-2</v>
      </c>
    </row>
    <row r="139" spans="3:21" s="24" customFormat="1">
      <c r="C139" s="24" t="s">
        <v>122</v>
      </c>
    </row>
    <row r="140" spans="3:21" outlineLevel="1">
      <c r="C140" s="1" t="s">
        <v>112</v>
      </c>
      <c r="F140" s="2">
        <f>10.494-0.684</f>
        <v>9.81</v>
      </c>
      <c r="G140" s="1">
        <f t="shared" ref="G140:I140" si="152">F145</f>
        <v>19.219000000000001</v>
      </c>
      <c r="H140" s="1">
        <f t="shared" si="152"/>
        <v>14.954000000000001</v>
      </c>
      <c r="I140" s="1">
        <f t="shared" si="152"/>
        <v>10.619</v>
      </c>
      <c r="J140" s="1">
        <f>I145</f>
        <v>51.816000000000003</v>
      </c>
      <c r="K140" s="1">
        <f t="shared" ref="K140:U140" si="153">J145</f>
        <v>111.864</v>
      </c>
      <c r="L140" s="1">
        <f t="shared" si="153"/>
        <v>118.34334275127375</v>
      </c>
      <c r="M140" s="1">
        <f t="shared" si="153"/>
        <v>122.30189905583359</v>
      </c>
      <c r="N140" s="1">
        <f t="shared" si="153"/>
        <v>124.72038016077127</v>
      </c>
      <c r="O140" s="1">
        <f t="shared" si="153"/>
        <v>126.19795188261418</v>
      </c>
      <c r="P140" s="1">
        <f t="shared" si="153"/>
        <v>127.1006747481071</v>
      </c>
      <c r="Q140" s="1">
        <f t="shared" si="153"/>
        <v>127.6521935406212</v>
      </c>
      <c r="R140" s="1">
        <f t="shared" si="153"/>
        <v>127.98914410443581</v>
      </c>
      <c r="S140" s="1">
        <f t="shared" si="153"/>
        <v>128.19500414764019</v>
      </c>
      <c r="T140" s="1">
        <f t="shared" si="153"/>
        <v>128.32077439983493</v>
      </c>
      <c r="U140" s="1">
        <f t="shared" si="153"/>
        <v>128.39761377133655</v>
      </c>
    </row>
    <row r="141" spans="3:21" outlineLevel="1">
      <c r="C141" s="1" t="s">
        <v>113</v>
      </c>
      <c r="F141" s="1">
        <f t="shared" ref="F141:I141" si="154">-F250</f>
        <v>12.512</v>
      </c>
      <c r="G141" s="1">
        <f t="shared" si="154"/>
        <v>0.22600000000000001</v>
      </c>
      <c r="H141" s="1">
        <f t="shared" si="154"/>
        <v>0.17299999999999999</v>
      </c>
      <c r="I141" s="1">
        <f t="shared" si="154"/>
        <v>50.805999999999997</v>
      </c>
      <c r="J141" s="1">
        <f>-J250</f>
        <v>63.118000000000002</v>
      </c>
      <c r="K141" s="3">
        <v>50</v>
      </c>
      <c r="L141" s="3">
        <f>K141</f>
        <v>50</v>
      </c>
      <c r="M141" s="3">
        <f t="shared" ref="M141:U141" si="155">L141</f>
        <v>50</v>
      </c>
      <c r="N141" s="3">
        <f t="shared" si="155"/>
        <v>50</v>
      </c>
      <c r="O141" s="3">
        <f t="shared" si="155"/>
        <v>50</v>
      </c>
      <c r="P141" s="3">
        <f t="shared" si="155"/>
        <v>50</v>
      </c>
      <c r="Q141" s="3">
        <f t="shared" si="155"/>
        <v>50</v>
      </c>
      <c r="R141" s="3">
        <f t="shared" si="155"/>
        <v>50</v>
      </c>
      <c r="S141" s="3">
        <f t="shared" si="155"/>
        <v>50</v>
      </c>
      <c r="T141" s="3">
        <f t="shared" si="155"/>
        <v>50</v>
      </c>
      <c r="U141" s="3">
        <f t="shared" si="155"/>
        <v>50</v>
      </c>
    </row>
    <row r="142" spans="3:21" outlineLevel="1">
      <c r="C142" s="1" t="s">
        <v>52</v>
      </c>
      <c r="F142" s="25">
        <f t="shared" ref="F142:I142" si="156">-F239</f>
        <v>-3.13</v>
      </c>
      <c r="G142" s="25">
        <f t="shared" si="156"/>
        <v>-4.5229999999999997</v>
      </c>
      <c r="H142" s="25">
        <f t="shared" si="156"/>
        <v>-4.4619999999999997</v>
      </c>
      <c r="I142" s="25">
        <f t="shared" si="156"/>
        <v>-9.7309999999999999</v>
      </c>
      <c r="J142" s="25">
        <f>-J239</f>
        <v>-20.158999999999999</v>
      </c>
      <c r="K142" s="1">
        <f>K140/K143</f>
        <v>-43.520657248726259</v>
      </c>
      <c r="L142" s="1">
        <f>L140/L143</f>
        <v>-46.041443695440158</v>
      </c>
      <c r="M142" s="1">
        <f t="shared" ref="M142:U142" si="157">M140/M143</f>
        <v>-47.581518895062317</v>
      </c>
      <c r="N142" s="1">
        <f t="shared" si="157"/>
        <v>-48.522428278157086</v>
      </c>
      <c r="O142" s="1">
        <f t="shared" si="157"/>
        <v>-49.097277134507081</v>
      </c>
      <c r="P142" s="1">
        <f t="shared" si="157"/>
        <v>-49.448481207485919</v>
      </c>
      <c r="Q142" s="1">
        <f t="shared" si="157"/>
        <v>-49.663049436185396</v>
      </c>
      <c r="R142" s="1">
        <f t="shared" si="157"/>
        <v>-49.794139956795604</v>
      </c>
      <c r="S142" s="1">
        <f t="shared" si="157"/>
        <v>-49.874229747805273</v>
      </c>
      <c r="T142" s="1">
        <f t="shared" si="157"/>
        <v>-49.92316062849838</v>
      </c>
      <c r="U142" s="1">
        <f t="shared" si="157"/>
        <v>-49.953054964033754</v>
      </c>
    </row>
    <row r="143" spans="3:21" s="26" customFormat="1" outlineLevel="1">
      <c r="C143" s="26" t="s">
        <v>123</v>
      </c>
      <c r="F143" s="27">
        <f t="shared" ref="F143:H143" si="158">F140/F142</f>
        <v>-3.1341853035143772</v>
      </c>
      <c r="G143" s="27">
        <f t="shared" si="158"/>
        <v>-4.2491709042670802</v>
      </c>
      <c r="H143" s="27">
        <f t="shared" si="158"/>
        <v>-3.3514119229045276</v>
      </c>
      <c r="I143" s="27">
        <f>I140/I142</f>
        <v>-1.0912547528517109</v>
      </c>
      <c r="J143" s="27">
        <f>J140/J142</f>
        <v>-2.5703655935314256</v>
      </c>
      <c r="K143" s="28">
        <f>J143</f>
        <v>-2.5703655935314256</v>
      </c>
      <c r="L143" s="28">
        <f>K143</f>
        <v>-2.5703655935314256</v>
      </c>
      <c r="M143" s="28">
        <f t="shared" ref="M143:U143" si="159">L143</f>
        <v>-2.5703655935314256</v>
      </c>
      <c r="N143" s="28">
        <f t="shared" si="159"/>
        <v>-2.5703655935314256</v>
      </c>
      <c r="O143" s="28">
        <f t="shared" si="159"/>
        <v>-2.5703655935314256</v>
      </c>
      <c r="P143" s="28">
        <f t="shared" si="159"/>
        <v>-2.5703655935314256</v>
      </c>
      <c r="Q143" s="28">
        <f t="shared" si="159"/>
        <v>-2.5703655935314256</v>
      </c>
      <c r="R143" s="28">
        <f t="shared" si="159"/>
        <v>-2.5703655935314256</v>
      </c>
      <c r="S143" s="28">
        <f t="shared" si="159"/>
        <v>-2.5703655935314256</v>
      </c>
      <c r="T143" s="28">
        <f t="shared" si="159"/>
        <v>-2.5703655935314256</v>
      </c>
      <c r="U143" s="28">
        <f t="shared" si="159"/>
        <v>-2.5703655935314256</v>
      </c>
    </row>
    <row r="144" spans="3:21" outlineLevel="1">
      <c r="C144" s="1" t="s">
        <v>118</v>
      </c>
      <c r="F144" s="1">
        <f t="shared" ref="F144:I144" si="160">F140+F141+F142</f>
        <v>19.192000000000004</v>
      </c>
      <c r="G144" s="1">
        <f t="shared" si="160"/>
        <v>14.922000000000001</v>
      </c>
      <c r="H144" s="1">
        <f t="shared" si="160"/>
        <v>10.665000000000001</v>
      </c>
      <c r="I144" s="1">
        <f t="shared" si="160"/>
        <v>51.693999999999996</v>
      </c>
      <c r="J144" s="1">
        <f>J140+J141+J142</f>
        <v>94.775000000000006</v>
      </c>
      <c r="K144" s="1">
        <f>K140+K141+K142</f>
        <v>118.34334275127375</v>
      </c>
      <c r="L144" s="1">
        <f>L140+L141+L142</f>
        <v>122.30189905583359</v>
      </c>
      <c r="M144" s="1">
        <f t="shared" ref="M144:U144" si="161">M140+M141+M142</f>
        <v>124.72038016077127</v>
      </c>
      <c r="N144" s="1">
        <f t="shared" si="161"/>
        <v>126.19795188261418</v>
      </c>
      <c r="O144" s="1">
        <f t="shared" si="161"/>
        <v>127.1006747481071</v>
      </c>
      <c r="P144" s="1">
        <f t="shared" si="161"/>
        <v>127.6521935406212</v>
      </c>
      <c r="Q144" s="1">
        <f t="shared" si="161"/>
        <v>127.98914410443581</v>
      </c>
      <c r="R144" s="1">
        <f t="shared" si="161"/>
        <v>128.19500414764019</v>
      </c>
      <c r="S144" s="1">
        <f t="shared" si="161"/>
        <v>128.32077439983493</v>
      </c>
      <c r="T144" s="1">
        <f t="shared" si="161"/>
        <v>128.39761377133655</v>
      </c>
      <c r="U144" s="1">
        <f t="shared" si="161"/>
        <v>128.4445588073028</v>
      </c>
    </row>
    <row r="145" spans="3:21" outlineLevel="1">
      <c r="C145" s="1" t="s">
        <v>119</v>
      </c>
      <c r="F145" s="1">
        <f>F113</f>
        <v>19.219000000000001</v>
      </c>
      <c r="G145" s="1">
        <f>G113</f>
        <v>14.954000000000001</v>
      </c>
      <c r="H145" s="1">
        <f>H113</f>
        <v>10.619</v>
      </c>
      <c r="I145" s="1">
        <f>I113</f>
        <v>51.816000000000003</v>
      </c>
      <c r="J145" s="1">
        <f>J113</f>
        <v>111.864</v>
      </c>
      <c r="K145" s="1">
        <f>K144</f>
        <v>118.34334275127375</v>
      </c>
      <c r="L145" s="1">
        <f>L144</f>
        <v>122.30189905583359</v>
      </c>
      <c r="M145" s="1">
        <f t="shared" ref="M145:U145" si="162">M144</f>
        <v>124.72038016077127</v>
      </c>
      <c r="N145" s="1">
        <f t="shared" si="162"/>
        <v>126.19795188261418</v>
      </c>
      <c r="O145" s="1">
        <f t="shared" si="162"/>
        <v>127.1006747481071</v>
      </c>
      <c r="P145" s="1">
        <f t="shared" si="162"/>
        <v>127.6521935406212</v>
      </c>
      <c r="Q145" s="1">
        <f t="shared" si="162"/>
        <v>127.98914410443581</v>
      </c>
      <c r="R145" s="1">
        <f t="shared" si="162"/>
        <v>128.19500414764019</v>
      </c>
      <c r="S145" s="1">
        <f t="shared" si="162"/>
        <v>128.32077439983493</v>
      </c>
      <c r="T145" s="1">
        <f t="shared" si="162"/>
        <v>128.39761377133655</v>
      </c>
      <c r="U145" s="1">
        <f t="shared" si="162"/>
        <v>128.4445588073028</v>
      </c>
    </row>
    <row r="146" spans="3:21" s="29" customFormat="1" outlineLevel="1">
      <c r="C146" s="29" t="s">
        <v>120</v>
      </c>
      <c r="F146" s="29">
        <f t="shared" ref="F146:I146" si="163">F145-F144</f>
        <v>2.699999999999747E-2</v>
      </c>
      <c r="G146" s="29">
        <f t="shared" si="163"/>
        <v>3.2000000000000028E-2</v>
      </c>
      <c r="H146" s="29">
        <f t="shared" si="163"/>
        <v>-4.6000000000001151E-2</v>
      </c>
      <c r="I146" s="29">
        <f t="shared" si="163"/>
        <v>0.12200000000000699</v>
      </c>
      <c r="J146" s="29">
        <f>J145-J144</f>
        <v>17.088999999999999</v>
      </c>
    </row>
    <row r="148" spans="3:21" s="24" customFormat="1">
      <c r="C148" s="24" t="s">
        <v>124</v>
      </c>
    </row>
    <row r="149" spans="3:21" outlineLevel="1">
      <c r="C149" s="1" t="s">
        <v>112</v>
      </c>
      <c r="F149" s="2"/>
      <c r="J149" s="2">
        <v>3414.5810000000001</v>
      </c>
      <c r="K149" s="1">
        <f>J155</f>
        <v>4755.8389999999999</v>
      </c>
      <c r="L149" s="1">
        <f t="shared" ref="L149:U149" si="164">K155</f>
        <v>7564.6090000000004</v>
      </c>
      <c r="M149" s="1">
        <f t="shared" si="164"/>
        <v>8151.0875040296305</v>
      </c>
      <c r="N149" s="1">
        <f t="shared" si="164"/>
        <v>8627.9767388226846</v>
      </c>
      <c r="O149" s="1">
        <f t="shared" si="164"/>
        <v>8515.7545357903546</v>
      </c>
      <c r="P149" s="1">
        <f t="shared" si="164"/>
        <v>8424.5021537112752</v>
      </c>
      <c r="Q149" s="1">
        <f t="shared" si="164"/>
        <v>8350.3011755616371</v>
      </c>
      <c r="R149" s="1">
        <f t="shared" si="164"/>
        <v>8289.9653790276698</v>
      </c>
      <c r="S149" s="1">
        <f t="shared" si="164"/>
        <v>7740.9039187320004</v>
      </c>
      <c r="T149" s="1">
        <f t="shared" si="164"/>
        <v>7294.4399855176143</v>
      </c>
      <c r="U149" s="1">
        <f t="shared" si="164"/>
        <v>6931.4022236722976</v>
      </c>
    </row>
    <row r="150" spans="3:21" outlineLevel="1">
      <c r="C150" s="1" t="s">
        <v>125</v>
      </c>
      <c r="J150" s="2">
        <v>2010.672</v>
      </c>
      <c r="K150" s="1">
        <f t="shared" ref="K150:U150" si="165">K151*K310</f>
        <v>2650</v>
      </c>
      <c r="L150" s="1">
        <f t="shared" si="165"/>
        <v>2000</v>
      </c>
      <c r="M150" s="1">
        <f t="shared" si="165"/>
        <v>2000</v>
      </c>
      <c r="N150" s="1">
        <f t="shared" si="165"/>
        <v>1500</v>
      </c>
      <c r="O150" s="1">
        <f t="shared" si="165"/>
        <v>1500</v>
      </c>
      <c r="P150" s="1">
        <f t="shared" si="165"/>
        <v>1500</v>
      </c>
      <c r="Q150" s="1">
        <f t="shared" si="165"/>
        <v>1500</v>
      </c>
      <c r="R150" s="1">
        <f t="shared" si="165"/>
        <v>1000</v>
      </c>
      <c r="S150" s="1">
        <f t="shared" si="165"/>
        <v>1000</v>
      </c>
      <c r="T150" s="1">
        <f t="shared" si="165"/>
        <v>1000</v>
      </c>
      <c r="U150" s="1">
        <f t="shared" si="165"/>
        <v>1000</v>
      </c>
    </row>
    <row r="151" spans="3:21" s="10" customFormat="1" outlineLevel="1">
      <c r="D151" s="10" t="s">
        <v>126</v>
      </c>
      <c r="J151" s="15">
        <f>J150/J310</f>
        <v>6.6578543046357614</v>
      </c>
      <c r="K151" s="16">
        <v>5</v>
      </c>
      <c r="L151" s="16">
        <f t="shared" ref="L151:U151" si="166">K151</f>
        <v>5</v>
      </c>
      <c r="M151" s="16">
        <f t="shared" si="166"/>
        <v>5</v>
      </c>
      <c r="N151" s="16">
        <f t="shared" si="166"/>
        <v>5</v>
      </c>
      <c r="O151" s="16">
        <f t="shared" si="166"/>
        <v>5</v>
      </c>
      <c r="P151" s="16">
        <f t="shared" si="166"/>
        <v>5</v>
      </c>
      <c r="Q151" s="16">
        <f t="shared" si="166"/>
        <v>5</v>
      </c>
      <c r="R151" s="16">
        <f t="shared" si="166"/>
        <v>5</v>
      </c>
      <c r="S151" s="16">
        <f t="shared" si="166"/>
        <v>5</v>
      </c>
      <c r="T151" s="16">
        <f t="shared" si="166"/>
        <v>5</v>
      </c>
      <c r="U151" s="16">
        <f t="shared" si="166"/>
        <v>5</v>
      </c>
    </row>
    <row r="152" spans="3:21" outlineLevel="1">
      <c r="C152" s="1" t="s">
        <v>52</v>
      </c>
      <c r="F152" s="25"/>
      <c r="G152" s="25"/>
      <c r="H152" s="25"/>
      <c r="I152" s="25"/>
      <c r="J152" s="25">
        <f>-J240</f>
        <v>-638.048</v>
      </c>
      <c r="K152" s="1">
        <f t="shared" ref="K152:U152" si="167">K149/K153</f>
        <v>-888.67523197487469</v>
      </c>
      <c r="L152" s="1">
        <f t="shared" si="167"/>
        <v>-1413.5214959703694</v>
      </c>
      <c r="M152" s="1">
        <f t="shared" si="167"/>
        <v>-1523.1107652069454</v>
      </c>
      <c r="N152" s="1">
        <f t="shared" si="167"/>
        <v>-1612.2222030323298</v>
      </c>
      <c r="O152" s="1">
        <f t="shared" si="167"/>
        <v>-1591.2523820790791</v>
      </c>
      <c r="P152" s="1">
        <f t="shared" si="167"/>
        <v>-1574.2009781496386</v>
      </c>
      <c r="Q152" s="1">
        <f t="shared" si="167"/>
        <v>-1560.3357965339674</v>
      </c>
      <c r="R152" s="1">
        <f t="shared" si="167"/>
        <v>-1549.0614602956691</v>
      </c>
      <c r="S152" s="1">
        <f t="shared" si="167"/>
        <v>-1446.463933214387</v>
      </c>
      <c r="T152" s="1">
        <f t="shared" si="167"/>
        <v>-1363.0377618453165</v>
      </c>
      <c r="U152" s="1">
        <f t="shared" si="167"/>
        <v>-1295.2005900605848</v>
      </c>
    </row>
    <row r="153" spans="3:21" s="26" customFormat="1" outlineLevel="1">
      <c r="C153" s="26" t="s">
        <v>123</v>
      </c>
      <c r="F153" s="27"/>
      <c r="G153" s="27"/>
      <c r="H153" s="27"/>
      <c r="I153" s="27"/>
      <c r="J153" s="27">
        <f>J149/J152</f>
        <v>-5.3516052083855765</v>
      </c>
      <c r="K153" s="28">
        <f>J153</f>
        <v>-5.3516052083855765</v>
      </c>
      <c r="L153" s="28">
        <f t="shared" ref="L153:U153" si="168">K153</f>
        <v>-5.3516052083855765</v>
      </c>
      <c r="M153" s="28">
        <f t="shared" si="168"/>
        <v>-5.3516052083855765</v>
      </c>
      <c r="N153" s="28">
        <f t="shared" si="168"/>
        <v>-5.3516052083855765</v>
      </c>
      <c r="O153" s="28">
        <f t="shared" si="168"/>
        <v>-5.3516052083855765</v>
      </c>
      <c r="P153" s="28">
        <f t="shared" si="168"/>
        <v>-5.3516052083855765</v>
      </c>
      <c r="Q153" s="28">
        <f t="shared" si="168"/>
        <v>-5.3516052083855765</v>
      </c>
      <c r="R153" s="28">
        <f t="shared" si="168"/>
        <v>-5.3516052083855765</v>
      </c>
      <c r="S153" s="28">
        <f t="shared" si="168"/>
        <v>-5.3516052083855765</v>
      </c>
      <c r="T153" s="28">
        <f t="shared" si="168"/>
        <v>-5.3516052083855765</v>
      </c>
      <c r="U153" s="28">
        <f t="shared" si="168"/>
        <v>-5.3516052083855765</v>
      </c>
    </row>
    <row r="154" spans="3:21" outlineLevel="1">
      <c r="C154" s="1" t="s">
        <v>118</v>
      </c>
      <c r="J154" s="1">
        <f t="shared" ref="J154:U154" si="169">J149+J150+J152</f>
        <v>4787.2050000000008</v>
      </c>
      <c r="K154" s="1">
        <f t="shared" si="169"/>
        <v>6517.1637680251251</v>
      </c>
      <c r="L154" s="1">
        <f t="shared" si="169"/>
        <v>8151.0875040296305</v>
      </c>
      <c r="M154" s="1">
        <f t="shared" si="169"/>
        <v>8627.9767388226846</v>
      </c>
      <c r="N154" s="1">
        <f t="shared" si="169"/>
        <v>8515.7545357903546</v>
      </c>
      <c r="O154" s="1">
        <f t="shared" si="169"/>
        <v>8424.5021537112752</v>
      </c>
      <c r="P154" s="1">
        <f t="shared" si="169"/>
        <v>8350.3011755616371</v>
      </c>
      <c r="Q154" s="1">
        <f t="shared" si="169"/>
        <v>8289.9653790276698</v>
      </c>
      <c r="R154" s="1">
        <f t="shared" si="169"/>
        <v>7740.9039187320004</v>
      </c>
      <c r="S154" s="1">
        <f t="shared" si="169"/>
        <v>7294.4399855176143</v>
      </c>
      <c r="T154" s="1">
        <f t="shared" si="169"/>
        <v>6931.4022236722976</v>
      </c>
      <c r="U154" s="1">
        <f t="shared" si="169"/>
        <v>6636.2016336117131</v>
      </c>
    </row>
    <row r="155" spans="3:21" outlineLevel="1">
      <c r="C155" s="1" t="s">
        <v>119</v>
      </c>
      <c r="F155" s="1">
        <f t="shared" ref="F155:K155" si="170">F111</f>
        <v>0</v>
      </c>
      <c r="G155" s="1">
        <f t="shared" si="170"/>
        <v>0</v>
      </c>
      <c r="H155" s="1">
        <f t="shared" si="170"/>
        <v>0</v>
      </c>
      <c r="I155" s="1">
        <f t="shared" si="170"/>
        <v>0</v>
      </c>
      <c r="J155" s="1">
        <f t="shared" si="170"/>
        <v>4755.8389999999999</v>
      </c>
      <c r="K155" s="1">
        <f t="shared" si="170"/>
        <v>7564.6090000000004</v>
      </c>
      <c r="L155" s="1">
        <f t="shared" ref="L155:U155" si="171">L154</f>
        <v>8151.0875040296305</v>
      </c>
      <c r="M155" s="1">
        <f t="shared" si="171"/>
        <v>8627.9767388226846</v>
      </c>
      <c r="N155" s="1">
        <f t="shared" si="171"/>
        <v>8515.7545357903546</v>
      </c>
      <c r="O155" s="1">
        <f t="shared" si="171"/>
        <v>8424.5021537112752</v>
      </c>
      <c r="P155" s="1">
        <f t="shared" si="171"/>
        <v>8350.3011755616371</v>
      </c>
      <c r="Q155" s="1">
        <f t="shared" si="171"/>
        <v>8289.9653790276698</v>
      </c>
      <c r="R155" s="1">
        <f t="shared" si="171"/>
        <v>7740.9039187320004</v>
      </c>
      <c r="S155" s="1">
        <f t="shared" si="171"/>
        <v>7294.4399855176143</v>
      </c>
      <c r="T155" s="1">
        <f t="shared" si="171"/>
        <v>6931.4022236722976</v>
      </c>
      <c r="U155" s="1">
        <f t="shared" si="171"/>
        <v>6636.2016336117131</v>
      </c>
    </row>
    <row r="156" spans="3:21" s="29" customFormat="1" outlineLevel="1">
      <c r="C156" s="29" t="s">
        <v>120</v>
      </c>
      <c r="J156" s="29">
        <f>J155-J154</f>
        <v>-31.366000000000895</v>
      </c>
      <c r="K156" s="29">
        <f>K155-K154</f>
        <v>1047.4452319748752</v>
      </c>
    </row>
    <row r="158" spans="3:21" s="24" customFormat="1">
      <c r="C158" s="24" t="s">
        <v>127</v>
      </c>
      <c r="F158" s="24">
        <f t="shared" ref="F158:I158" si="172">F185+F192</f>
        <v>0</v>
      </c>
      <c r="G158" s="24">
        <f t="shared" si="172"/>
        <v>0</v>
      </c>
      <c r="H158" s="24">
        <f t="shared" si="172"/>
        <v>0</v>
      </c>
      <c r="I158" s="24">
        <f t="shared" si="172"/>
        <v>0</v>
      </c>
      <c r="J158" s="24">
        <f>J185+J192</f>
        <v>4876.1630000000005</v>
      </c>
      <c r="K158" s="24">
        <f>K185+K192</f>
        <v>8062.0340000000006</v>
      </c>
      <c r="L158" s="24">
        <f t="shared" ref="L158:U158" si="173">L159*L155</f>
        <v>8151.0875040296305</v>
      </c>
      <c r="M158" s="24">
        <f t="shared" si="173"/>
        <v>8627.9767388226846</v>
      </c>
      <c r="N158" s="24">
        <f t="shared" si="173"/>
        <v>8515.7545357903546</v>
      </c>
      <c r="O158" s="24">
        <f t="shared" si="173"/>
        <v>8424.5021537112752</v>
      </c>
      <c r="P158" s="24">
        <f t="shared" si="173"/>
        <v>8350.3011755616371</v>
      </c>
      <c r="Q158" s="24">
        <f t="shared" si="173"/>
        <v>8289.9653790276698</v>
      </c>
      <c r="R158" s="24">
        <f t="shared" si="173"/>
        <v>7740.9039187320004</v>
      </c>
      <c r="S158" s="24">
        <f t="shared" si="173"/>
        <v>7294.4399855176143</v>
      </c>
      <c r="T158" s="24">
        <f t="shared" si="173"/>
        <v>6931.4022236722976</v>
      </c>
      <c r="U158" s="24">
        <f t="shared" si="173"/>
        <v>6636.2016336117131</v>
      </c>
    </row>
    <row r="159" spans="3:21" s="8" customFormat="1">
      <c r="D159" s="8" t="s">
        <v>128</v>
      </c>
      <c r="J159" s="8">
        <f>J158/J155</f>
        <v>1.0253002677340424</v>
      </c>
      <c r="K159" s="8">
        <f>K158/K155</f>
        <v>1.0657568685969097</v>
      </c>
      <c r="L159" s="9">
        <v>1</v>
      </c>
      <c r="M159" s="9">
        <f t="shared" ref="M159:U159" si="174">L159</f>
        <v>1</v>
      </c>
      <c r="N159" s="9">
        <f t="shared" si="174"/>
        <v>1</v>
      </c>
      <c r="O159" s="9">
        <f t="shared" si="174"/>
        <v>1</v>
      </c>
      <c r="P159" s="9">
        <f t="shared" si="174"/>
        <v>1</v>
      </c>
      <c r="Q159" s="9">
        <f>P159</f>
        <v>1</v>
      </c>
      <c r="R159" s="9">
        <f t="shared" si="174"/>
        <v>1</v>
      </c>
      <c r="S159" s="9">
        <f t="shared" si="174"/>
        <v>1</v>
      </c>
      <c r="T159" s="9">
        <f t="shared" si="174"/>
        <v>1</v>
      </c>
      <c r="U159" s="9">
        <f t="shared" si="174"/>
        <v>1</v>
      </c>
    </row>
    <row r="161" spans="2:31" s="6" customFormat="1">
      <c r="B161" s="6" t="s">
        <v>129</v>
      </c>
      <c r="F161" s="6">
        <f t="shared" ref="F161:H161" si="175">F163+F164+F168+F169+F170+F171+F172+F173</f>
        <v>1184.0619999999999</v>
      </c>
      <c r="G161" s="6">
        <f t="shared" si="175"/>
        <v>1256.6749999999997</v>
      </c>
      <c r="H161" s="6">
        <f t="shared" si="175"/>
        <v>1461.6939999999997</v>
      </c>
      <c r="I161" s="6">
        <f>I163+I164+I168+I169+I170+I171+I172+I173</f>
        <v>5735.9859999999999</v>
      </c>
      <c r="J161" s="6">
        <f>J163+J164+J168+J169+J170+J171+J172+J173</f>
        <v>7200.2909999999993</v>
      </c>
      <c r="K161" s="6">
        <f>K163+K164+K168+K169+K170+K171+K172+K173</f>
        <v>6593.2560000000003</v>
      </c>
      <c r="L161" s="6">
        <f t="shared" ref="L161:U161" si="176">L163+L164+L168+L169+L170+L171+L172+L173</f>
        <v>10259.288199409873</v>
      </c>
      <c r="M161" s="6">
        <f t="shared" si="176"/>
        <v>12910.867682098011</v>
      </c>
      <c r="N161" s="6">
        <f t="shared" si="176"/>
        <v>15355.829749363787</v>
      </c>
      <c r="O161" s="6">
        <f t="shared" si="176"/>
        <v>18221.945264453359</v>
      </c>
      <c r="P161" s="6">
        <f t="shared" si="176"/>
        <v>22517.694577295453</v>
      </c>
      <c r="Q161" s="6">
        <f t="shared" si="176"/>
        <v>28956.181216732559</v>
      </c>
      <c r="R161" s="6">
        <f t="shared" si="176"/>
        <v>37337.099981457526</v>
      </c>
      <c r="S161" s="6">
        <f t="shared" si="176"/>
        <v>46930.914239687059</v>
      </c>
      <c r="T161" s="6">
        <f t="shared" si="176"/>
        <v>57995.662553035429</v>
      </c>
      <c r="U161" s="6">
        <f t="shared" si="176"/>
        <v>70994.156516291434</v>
      </c>
      <c r="X161" s="6">
        <f t="shared" ref="X161" si="177">X163+X164+X168+X169+X170+X171+X172+X173</f>
        <v>0</v>
      </c>
      <c r="Y161" s="6">
        <f>Y163+Y164+Y168+Y169+Y170+Y171+Y172+Y173</f>
        <v>1461.6939999999997</v>
      </c>
      <c r="Z161" s="6">
        <f>Z163+Z164+Z168+Z169+Z170+Z171+Z172+Z173</f>
        <v>1482.46</v>
      </c>
      <c r="AA161" s="6">
        <f>AA163+AA164+AA168+AA169+AA170+AA171+AA172+AA173</f>
        <v>5735.9859999999999</v>
      </c>
      <c r="AB161" s="6">
        <f>AB163+AB164+AB168+AB169+AB170+AB171+AB172+AB173</f>
        <v>6887.9570000000003</v>
      </c>
      <c r="AC161" s="6">
        <f>AC163+AC164+AC168+AC169+AC170+AC171+AC172+AC173</f>
        <v>7200.2909999999993</v>
      </c>
      <c r="AD161" s="6">
        <f t="shared" ref="AD161" si="178">AD163+AD164+AD168+AD169+AD170+AD171+AD172+AD173</f>
        <v>7446.8329999999996</v>
      </c>
      <c r="AE161" s="6">
        <f>AE163+AE164+AE168+AE169+AE170+AE171+AE172+AE173</f>
        <v>6593.2560000000003</v>
      </c>
    </row>
    <row r="163" spans="2:31">
      <c r="C163" s="23" t="s">
        <v>130</v>
      </c>
      <c r="F163" s="2">
        <v>41.064999999999998</v>
      </c>
      <c r="G163" s="2">
        <v>49.707000000000001</v>
      </c>
      <c r="H163" s="2">
        <v>95.117999999999995</v>
      </c>
      <c r="I163" s="2">
        <v>457.12400000000002</v>
      </c>
      <c r="J163" s="2">
        <v>1199.6659999999999</v>
      </c>
      <c r="K163" s="2">
        <v>1154.2149999999999</v>
      </c>
      <c r="L163" s="1">
        <f>L214</f>
        <v>2594.5650787298796</v>
      </c>
      <c r="M163" s="1">
        <f t="shared" ref="M163:U163" si="179">M214</f>
        <v>3458.5421719325336</v>
      </c>
      <c r="N163" s="1">
        <f t="shared" si="179"/>
        <v>4104.9870799037308</v>
      </c>
      <c r="O163" s="1">
        <f t="shared" si="179"/>
        <v>4727.2117822203472</v>
      </c>
      <c r="P163" s="1">
        <f t="shared" si="179"/>
        <v>5451.8311990080438</v>
      </c>
      <c r="Q163" s="1">
        <f t="shared" si="179"/>
        <v>6278.9561488213785</v>
      </c>
      <c r="R163" s="1">
        <f t="shared" si="179"/>
        <v>7066.8077429397517</v>
      </c>
      <c r="S163" s="1">
        <f t="shared" si="179"/>
        <v>7807.2078139954929</v>
      </c>
      <c r="T163" s="1">
        <f t="shared" si="179"/>
        <v>8603.1764245402519</v>
      </c>
      <c r="U163" s="1">
        <f t="shared" si="179"/>
        <v>9457.4474994005141</v>
      </c>
      <c r="X163" s="2"/>
      <c r="Y163" s="2">
        <v>95.117999999999995</v>
      </c>
      <c r="Z163" s="2">
        <v>325.43900000000002</v>
      </c>
      <c r="AA163" s="2">
        <v>457.12400000000002</v>
      </c>
      <c r="AB163" s="2">
        <v>458.13799999999998</v>
      </c>
      <c r="AC163" s="2">
        <v>1199.6659999999999</v>
      </c>
      <c r="AD163" s="2">
        <v>907.90800000000002</v>
      </c>
      <c r="AE163" s="2">
        <v>1154.2149999999999</v>
      </c>
    </row>
    <row r="164" spans="2:31">
      <c r="C164" s="23" t="s">
        <v>131</v>
      </c>
      <c r="F164" s="2">
        <v>175.47300000000001</v>
      </c>
      <c r="G164" s="2">
        <v>246.678</v>
      </c>
      <c r="H164" s="2">
        <v>497.61599999999999</v>
      </c>
      <c r="I164" s="2">
        <v>845.11800000000005</v>
      </c>
      <c r="J164" s="2">
        <v>1615.5509999999999</v>
      </c>
      <c r="K164" s="2">
        <v>2205.415</v>
      </c>
      <c r="L164" s="1">
        <f>L213</f>
        <v>4957.5622766183578</v>
      </c>
      <c r="M164" s="1">
        <f t="shared" ref="M164:U164" si="180">M213</f>
        <v>6608.4055259311208</v>
      </c>
      <c r="N164" s="1">
        <f t="shared" si="180"/>
        <v>7843.599399441081</v>
      </c>
      <c r="O164" s="1">
        <f t="shared" si="180"/>
        <v>9032.514542511999</v>
      </c>
      <c r="P164" s="1">
        <f t="shared" si="180"/>
        <v>10417.08026993266</v>
      </c>
      <c r="Q164" s="1">
        <f t="shared" si="180"/>
        <v>11997.508328130289</v>
      </c>
      <c r="R164" s="1">
        <f t="shared" si="180"/>
        <v>13502.894866550403</v>
      </c>
      <c r="S164" s="1">
        <f t="shared" si="180"/>
        <v>14917.613461186062</v>
      </c>
      <c r="T164" s="1">
        <f t="shared" si="180"/>
        <v>16438.509579521527</v>
      </c>
      <c r="U164" s="1">
        <f t="shared" si="180"/>
        <v>18070.807065313122</v>
      </c>
      <c r="X164" s="2"/>
      <c r="Y164" s="2">
        <v>497.61599999999999</v>
      </c>
      <c r="Z164" s="2">
        <v>568.53800000000001</v>
      </c>
      <c r="AA164" s="2">
        <v>845.11800000000005</v>
      </c>
      <c r="AB164" s="2">
        <v>1353.2529999999999</v>
      </c>
      <c r="AC164" s="2">
        <v>1615.5509999999999</v>
      </c>
      <c r="AD164" s="2">
        <v>1603.4110000000001</v>
      </c>
      <c r="AE164" s="2">
        <v>2205.415</v>
      </c>
    </row>
    <row r="165" spans="2:31" s="19" customFormat="1" outlineLevel="1">
      <c r="D165" s="19" t="s">
        <v>132</v>
      </c>
      <c r="F165" s="19">
        <v>29.587</v>
      </c>
      <c r="G165" s="19">
        <v>63.643999999999998</v>
      </c>
      <c r="H165" s="19">
        <v>172.95099999999999</v>
      </c>
      <c r="I165" s="19">
        <v>150.09299999999999</v>
      </c>
      <c r="J165" s="19">
        <v>203.571</v>
      </c>
    </row>
    <row r="166" spans="2:31" s="19" customFormat="1" outlineLevel="1">
      <c r="D166" s="19" t="s">
        <v>133</v>
      </c>
      <c r="F166" s="19">
        <v>29.635000000000002</v>
      </c>
      <c r="G166" s="19">
        <v>16.510999999999999</v>
      </c>
      <c r="H166" s="19">
        <v>48.610999999999997</v>
      </c>
      <c r="I166" s="19">
        <v>267.04000000000002</v>
      </c>
      <c r="J166" s="19">
        <v>554.23599999999999</v>
      </c>
    </row>
    <row r="167" spans="2:31" s="19" customFormat="1" outlineLevel="1">
      <c r="D167" s="19" t="s">
        <v>134</v>
      </c>
      <c r="F167" s="19">
        <f t="shared" ref="F167:I167" si="181">F164-F165-F166</f>
        <v>116.25100000000002</v>
      </c>
      <c r="G167" s="19">
        <f t="shared" si="181"/>
        <v>166.523</v>
      </c>
      <c r="H167" s="19">
        <f t="shared" si="181"/>
        <v>276.05399999999997</v>
      </c>
      <c r="I167" s="19">
        <f t="shared" si="181"/>
        <v>427.98500000000007</v>
      </c>
      <c r="J167" s="19">
        <f>J164-J165-J166</f>
        <v>857.74400000000003</v>
      </c>
    </row>
    <row r="168" spans="2:31">
      <c r="C168" s="23" t="s">
        <v>135</v>
      </c>
      <c r="F168" s="2">
        <v>748.33600000000001</v>
      </c>
      <c r="G168" s="2">
        <v>502.24200000000002</v>
      </c>
      <c r="H168" s="2">
        <v>444.21300000000002</v>
      </c>
      <c r="I168" s="2">
        <v>201.261</v>
      </c>
      <c r="J168" s="2">
        <v>300.97300000000001</v>
      </c>
      <c r="K168" s="2">
        <v>267.70800000000003</v>
      </c>
      <c r="L168" s="3">
        <f>K168</f>
        <v>267.70800000000003</v>
      </c>
      <c r="M168" s="3">
        <f t="shared" ref="M168:U172" si="182">L168</f>
        <v>267.70800000000003</v>
      </c>
      <c r="N168" s="3">
        <f t="shared" si="182"/>
        <v>267.70800000000003</v>
      </c>
      <c r="O168" s="3">
        <f t="shared" si="182"/>
        <v>267.70800000000003</v>
      </c>
      <c r="P168" s="3">
        <f t="shared" si="182"/>
        <v>267.70800000000003</v>
      </c>
      <c r="Q168" s="3">
        <f t="shared" si="182"/>
        <v>267.70800000000003</v>
      </c>
      <c r="R168" s="3">
        <f t="shared" si="182"/>
        <v>267.70800000000003</v>
      </c>
      <c r="S168" s="3">
        <f t="shared" si="182"/>
        <v>267.70800000000003</v>
      </c>
      <c r="T168" s="3">
        <f t="shared" si="182"/>
        <v>267.70800000000003</v>
      </c>
      <c r="U168" s="3">
        <f t="shared" si="182"/>
        <v>267.70800000000003</v>
      </c>
      <c r="X168" s="2"/>
      <c r="Y168" s="2">
        <v>444.21300000000002</v>
      </c>
      <c r="Z168" s="2">
        <v>43.558999999999997</v>
      </c>
      <c r="AA168" s="2">
        <v>201.261</v>
      </c>
      <c r="AB168" s="2">
        <v>250.92500000000001</v>
      </c>
      <c r="AC168" s="2">
        <v>300.97300000000001</v>
      </c>
      <c r="AD168" s="2">
        <v>253.57499999999999</v>
      </c>
      <c r="AE168" s="2">
        <v>267.70800000000003</v>
      </c>
    </row>
    <row r="169" spans="2:31">
      <c r="C169" s="1" t="s">
        <v>103</v>
      </c>
      <c r="F169" s="2">
        <v>52.954000000000001</v>
      </c>
      <c r="G169" s="2">
        <v>7.3230000000000004</v>
      </c>
      <c r="H169" s="2">
        <v>78.856999999999999</v>
      </c>
      <c r="I169" s="2">
        <v>1.653</v>
      </c>
      <c r="J169" s="2">
        <v>0</v>
      </c>
      <c r="K169" s="2">
        <v>4</v>
      </c>
      <c r="L169" s="1">
        <f>K169</f>
        <v>4</v>
      </c>
      <c r="M169" s="1">
        <f t="shared" si="182"/>
        <v>4</v>
      </c>
      <c r="N169" s="1">
        <f t="shared" si="182"/>
        <v>4</v>
      </c>
      <c r="O169" s="1">
        <f t="shared" si="182"/>
        <v>4</v>
      </c>
      <c r="P169" s="1">
        <f t="shared" si="182"/>
        <v>4</v>
      </c>
      <c r="Q169" s="1">
        <f t="shared" si="182"/>
        <v>4</v>
      </c>
      <c r="R169" s="1">
        <f t="shared" si="182"/>
        <v>4</v>
      </c>
      <c r="S169" s="1">
        <f t="shared" si="182"/>
        <v>4</v>
      </c>
      <c r="T169" s="1">
        <f t="shared" si="182"/>
        <v>4</v>
      </c>
      <c r="U169" s="1">
        <f t="shared" si="182"/>
        <v>4</v>
      </c>
      <c r="X169" s="2"/>
      <c r="Y169" s="2">
        <v>78.856999999999999</v>
      </c>
      <c r="Z169" s="2">
        <v>12.673999999999999</v>
      </c>
      <c r="AA169" s="2">
        <v>1.653</v>
      </c>
      <c r="AB169" s="2">
        <v>22.023</v>
      </c>
      <c r="AC169" s="2">
        <v>0</v>
      </c>
      <c r="AD169" s="2">
        <v>1301.855</v>
      </c>
      <c r="AE169" s="2">
        <v>4</v>
      </c>
    </row>
    <row r="170" spans="2:31">
      <c r="C170" s="1" t="s">
        <v>107</v>
      </c>
      <c r="F170" s="2">
        <v>0</v>
      </c>
      <c r="G170" s="2">
        <v>0</v>
      </c>
      <c r="H170" s="2">
        <v>0</v>
      </c>
      <c r="I170" s="2">
        <v>103.381</v>
      </c>
      <c r="J170" s="2">
        <v>1804.0350000000001</v>
      </c>
      <c r="K170" s="2">
        <v>0</v>
      </c>
      <c r="L170" s="1">
        <f>K170</f>
        <v>0</v>
      </c>
      <c r="M170" s="1">
        <f t="shared" si="182"/>
        <v>0</v>
      </c>
      <c r="N170" s="1">
        <f t="shared" si="182"/>
        <v>0</v>
      </c>
      <c r="O170" s="1">
        <f t="shared" si="182"/>
        <v>0</v>
      </c>
      <c r="P170" s="1">
        <f t="shared" si="182"/>
        <v>0</v>
      </c>
      <c r="Q170" s="1">
        <f t="shared" si="182"/>
        <v>0</v>
      </c>
      <c r="R170" s="1">
        <f t="shared" si="182"/>
        <v>0</v>
      </c>
      <c r="S170" s="1">
        <f t="shared" si="182"/>
        <v>0</v>
      </c>
      <c r="T170" s="1">
        <f t="shared" si="182"/>
        <v>0</v>
      </c>
      <c r="U170" s="1">
        <f t="shared" si="182"/>
        <v>0</v>
      </c>
      <c r="X170" s="2"/>
      <c r="Y170" s="2">
        <v>0</v>
      </c>
      <c r="Z170" s="2">
        <v>0</v>
      </c>
      <c r="AA170" s="2">
        <v>103.381</v>
      </c>
      <c r="AB170" s="2">
        <v>1752.0730000000001</v>
      </c>
      <c r="AC170" s="2">
        <v>1804.0350000000001</v>
      </c>
      <c r="AD170" s="2">
        <v>1107.6869999999999</v>
      </c>
      <c r="AE170" s="2">
        <v>0</v>
      </c>
    </row>
    <row r="171" spans="2:31">
      <c r="C171" s="1" t="s">
        <v>105</v>
      </c>
      <c r="F171" s="2">
        <v>7</v>
      </c>
      <c r="G171" s="2">
        <v>7.6360000000000001</v>
      </c>
      <c r="H171" s="2">
        <v>16.201000000000001</v>
      </c>
      <c r="I171" s="2">
        <v>0.80700000000000005</v>
      </c>
      <c r="J171" s="2">
        <v>0</v>
      </c>
      <c r="K171" s="2">
        <v>23.259</v>
      </c>
      <c r="L171" s="1">
        <f>K171</f>
        <v>23.259</v>
      </c>
      <c r="M171" s="1">
        <f t="shared" si="182"/>
        <v>23.259</v>
      </c>
      <c r="N171" s="1">
        <f t="shared" si="182"/>
        <v>23.259</v>
      </c>
      <c r="O171" s="1">
        <f t="shared" si="182"/>
        <v>23.259</v>
      </c>
      <c r="P171" s="1">
        <f t="shared" si="182"/>
        <v>23.259</v>
      </c>
      <c r="Q171" s="1">
        <f t="shared" si="182"/>
        <v>23.259</v>
      </c>
      <c r="R171" s="1">
        <f t="shared" si="182"/>
        <v>23.259</v>
      </c>
      <c r="S171" s="1">
        <f t="shared" si="182"/>
        <v>23.259</v>
      </c>
      <c r="T171" s="1">
        <f t="shared" si="182"/>
        <v>23.259</v>
      </c>
      <c r="U171" s="1">
        <f t="shared" si="182"/>
        <v>23.259</v>
      </c>
      <c r="X171" s="2"/>
      <c r="Y171" s="2">
        <v>16.201000000000001</v>
      </c>
      <c r="Z171" s="2">
        <v>0</v>
      </c>
      <c r="AA171" s="2">
        <v>0.80700000000000005</v>
      </c>
      <c r="AB171" s="2">
        <v>0</v>
      </c>
      <c r="AC171" s="2">
        <v>0</v>
      </c>
      <c r="AD171" s="2">
        <v>2</v>
      </c>
      <c r="AE171" s="2">
        <v>23.259</v>
      </c>
    </row>
    <row r="172" spans="2:31">
      <c r="C172" s="1" t="s">
        <v>136</v>
      </c>
      <c r="F172" s="2">
        <v>1.639</v>
      </c>
      <c r="G172" s="2">
        <v>36.213000000000001</v>
      </c>
      <c r="H172" s="2">
        <v>47.656999999999996</v>
      </c>
      <c r="I172" s="2">
        <v>8.0190000000000001</v>
      </c>
      <c r="J172" s="2">
        <v>58.103999999999999</v>
      </c>
      <c r="K172" s="2">
        <v>17.791</v>
      </c>
      <c r="L172" s="1">
        <f>K172</f>
        <v>17.791</v>
      </c>
      <c r="M172" s="1">
        <f t="shared" si="182"/>
        <v>17.791</v>
      </c>
      <c r="N172" s="1">
        <f t="shared" si="182"/>
        <v>17.791</v>
      </c>
      <c r="O172" s="1">
        <f t="shared" si="182"/>
        <v>17.791</v>
      </c>
      <c r="P172" s="1">
        <f t="shared" si="182"/>
        <v>17.791</v>
      </c>
      <c r="Q172" s="1">
        <f t="shared" si="182"/>
        <v>17.791</v>
      </c>
      <c r="R172" s="1">
        <f t="shared" si="182"/>
        <v>17.791</v>
      </c>
      <c r="S172" s="1">
        <f t="shared" si="182"/>
        <v>17.791</v>
      </c>
      <c r="T172" s="1">
        <f t="shared" si="182"/>
        <v>17.791</v>
      </c>
      <c r="U172" s="1">
        <f t="shared" si="182"/>
        <v>17.791</v>
      </c>
      <c r="X172" s="2"/>
      <c r="Y172" s="2">
        <v>47.656999999999996</v>
      </c>
      <c r="Z172" s="2">
        <v>1.147</v>
      </c>
      <c r="AA172" s="2">
        <v>8.0190000000000001</v>
      </c>
      <c r="AB172" s="2">
        <v>48.841000000000001</v>
      </c>
      <c r="AC172" s="2">
        <v>58.103999999999999</v>
      </c>
      <c r="AD172" s="2">
        <v>22.736999999999998</v>
      </c>
      <c r="AE172" s="2">
        <v>17.791</v>
      </c>
    </row>
    <row r="173" spans="2:31">
      <c r="C173" s="1" t="s">
        <v>137</v>
      </c>
      <c r="F173" s="2">
        <v>157.595</v>
      </c>
      <c r="G173" s="2">
        <v>406.87599999999998</v>
      </c>
      <c r="H173" s="2">
        <v>282.03199999999998</v>
      </c>
      <c r="I173" s="2">
        <v>4118.6229999999996</v>
      </c>
      <c r="J173" s="2">
        <v>2221.962</v>
      </c>
      <c r="K173" s="2">
        <v>2920.8679999999999</v>
      </c>
      <c r="L173" s="1">
        <f>L267</f>
        <v>2394.4028440616371</v>
      </c>
      <c r="M173" s="1">
        <f t="shared" ref="M173:U173" si="183">M267</f>
        <v>2531.1619842343571</v>
      </c>
      <c r="N173" s="1">
        <f t="shared" si="183"/>
        <v>3094.4852700189749</v>
      </c>
      <c r="O173" s="1">
        <f t="shared" si="183"/>
        <v>4149.4609397210124</v>
      </c>
      <c r="P173" s="1">
        <f t="shared" si="183"/>
        <v>6336.0251083547491</v>
      </c>
      <c r="Q173" s="1">
        <f t="shared" si="183"/>
        <v>10366.958739780894</v>
      </c>
      <c r="R173" s="1">
        <f t="shared" si="183"/>
        <v>16454.639371967372</v>
      </c>
      <c r="S173" s="1">
        <f t="shared" si="183"/>
        <v>23893.33496450551</v>
      </c>
      <c r="T173" s="1">
        <f t="shared" si="183"/>
        <v>32641.218548973651</v>
      </c>
      <c r="U173" s="1">
        <f t="shared" si="183"/>
        <v>43153.143951577797</v>
      </c>
      <c r="X173" s="2"/>
      <c r="Y173" s="2">
        <v>282.03199999999998</v>
      </c>
      <c r="Z173" s="2">
        <v>531.10299999999995</v>
      </c>
      <c r="AA173" s="2">
        <v>4118.6229999999996</v>
      </c>
      <c r="AB173" s="2">
        <v>3002.7040000000002</v>
      </c>
      <c r="AC173" s="2">
        <v>2221.962</v>
      </c>
      <c r="AD173" s="2">
        <v>2247.66</v>
      </c>
      <c r="AE173" s="2">
        <v>2920.8679999999999</v>
      </c>
    </row>
    <row r="175" spans="2:31" s="6" customFormat="1">
      <c r="B175" s="6" t="s">
        <v>138</v>
      </c>
      <c r="F175" s="6">
        <f t="shared" ref="F175:U175" si="184">F108+F161</f>
        <v>2406.6179999999999</v>
      </c>
      <c r="G175" s="6">
        <f t="shared" si="184"/>
        <v>2749.5229999999992</v>
      </c>
      <c r="H175" s="6">
        <f t="shared" si="184"/>
        <v>3735.8249999999998</v>
      </c>
      <c r="I175" s="6">
        <f t="shared" si="184"/>
        <v>11944.643</v>
      </c>
      <c r="J175" s="6">
        <f t="shared" si="184"/>
        <v>20613.932000000001</v>
      </c>
      <c r="K175" s="6">
        <f t="shared" si="184"/>
        <v>27527.144000000004</v>
      </c>
      <c r="L175" s="6">
        <f t="shared" si="184"/>
        <v>38744.750030881514</v>
      </c>
      <c r="M175" s="6">
        <f t="shared" si="184"/>
        <v>48255.862553809427</v>
      </c>
      <c r="N175" s="6">
        <f t="shared" si="184"/>
        <v>56854.636957308045</v>
      </c>
      <c r="O175" s="6">
        <f t="shared" si="184"/>
        <v>66298.425551455934</v>
      </c>
      <c r="P175" s="6">
        <f t="shared" si="184"/>
        <v>77669.746302017098</v>
      </c>
      <c r="Q175" s="6">
        <f t="shared" si="184"/>
        <v>91746.858711905341</v>
      </c>
      <c r="R175" s="6">
        <f t="shared" si="184"/>
        <v>107062.3634938185</v>
      </c>
      <c r="S175" s="6">
        <f t="shared" si="184"/>
        <v>123909.48791364027</v>
      </c>
      <c r="T175" s="6">
        <f t="shared" si="184"/>
        <v>142656.00660381076</v>
      </c>
      <c r="U175" s="6">
        <f t="shared" si="184"/>
        <v>163851.59234880068</v>
      </c>
      <c r="X175" s="6">
        <f t="shared" ref="X175:AE175" si="185">X108+X161</f>
        <v>0</v>
      </c>
      <c r="Y175" s="6">
        <f t="shared" si="185"/>
        <v>3735.8249999999998</v>
      </c>
      <c r="Z175" s="6">
        <f t="shared" si="185"/>
        <v>4528.5310000000009</v>
      </c>
      <c r="AA175" s="6">
        <f t="shared" si="185"/>
        <v>11944.643</v>
      </c>
      <c r="AB175" s="6">
        <f t="shared" si="185"/>
        <v>16924.002</v>
      </c>
      <c r="AC175" s="6">
        <f t="shared" si="185"/>
        <v>20613.932000000001</v>
      </c>
      <c r="AD175" s="6">
        <f t="shared" si="185"/>
        <v>23036.42</v>
      </c>
      <c r="AE175" s="6">
        <f t="shared" si="185"/>
        <v>27527.144000000004</v>
      </c>
    </row>
    <row r="177" spans="2:31" s="6" customFormat="1">
      <c r="B177" s="6" t="s">
        <v>139</v>
      </c>
      <c r="F177" s="6">
        <f t="shared" ref="F177:I177" si="186">F179+F180+F181+F182+F183+F184+F185+F186</f>
        <v>1244.4189999999999</v>
      </c>
      <c r="G177" s="6">
        <f t="shared" si="186"/>
        <v>1642.318</v>
      </c>
      <c r="H177" s="6">
        <f t="shared" si="186"/>
        <v>2618.1370000000002</v>
      </c>
      <c r="I177" s="6">
        <f t="shared" si="186"/>
        <v>3305.9880000000003</v>
      </c>
      <c r="J177" s="6">
        <f>J179+J180+J181+J182+J183+J184+J185+J186</f>
        <v>5664.0709999999999</v>
      </c>
      <c r="K177" s="6">
        <f>K179+K180+K181+K182+K183+K184+K185+K186</f>
        <v>9867.9429999999993</v>
      </c>
      <c r="L177" s="6">
        <f t="shared" ref="L177:U177" si="187">L179+L180+L181+L182+L183+L184+L185+L186</f>
        <v>15462.621575053559</v>
      </c>
      <c r="M177" s="6">
        <f t="shared" si="187"/>
        <v>18874.076722968861</v>
      </c>
      <c r="N177" s="6">
        <f t="shared" si="187"/>
        <v>21365.064806479062</v>
      </c>
      <c r="O177" s="6">
        <f t="shared" si="187"/>
        <v>23764.922935682578</v>
      </c>
      <c r="P177" s="6">
        <f t="shared" si="187"/>
        <v>26563.914020206459</v>
      </c>
      <c r="Q177" s="6">
        <f t="shared" si="187"/>
        <v>29762.049625471744</v>
      </c>
      <c r="R177" s="6">
        <f t="shared" si="187"/>
        <v>32743.843094143955</v>
      </c>
      <c r="S177" s="6">
        <f t="shared" si="187"/>
        <v>35555.167089408744</v>
      </c>
      <c r="T177" s="6">
        <f t="shared" si="187"/>
        <v>38592.826641677995</v>
      </c>
      <c r="U177" s="6">
        <f t="shared" si="187"/>
        <v>41865.373788379831</v>
      </c>
      <c r="X177" s="6">
        <f t="shared" ref="X177:AA177" si="188">X179+X180+X181+X182+X183+X184+X185+X186</f>
        <v>0</v>
      </c>
      <c r="Y177" s="6">
        <f>Y179+Y180+Y181+Y182+Y183+Y184+Y185+Y186</f>
        <v>2618.1370000000002</v>
      </c>
      <c r="Z177" s="6">
        <f t="shared" si="188"/>
        <v>3314.5149999999999</v>
      </c>
      <c r="AA177" s="6">
        <f t="shared" si="188"/>
        <v>3305.9880000000003</v>
      </c>
      <c r="AB177" s="6">
        <f>AB179+AB180+AB181+AB182+AB183+AB184+AB185+AB186</f>
        <v>3923.4640000000004</v>
      </c>
      <c r="AC177" s="6">
        <f>AC179+AC180+AC181+AC182+AC183+AC184+AC185+AC186</f>
        <v>5664.0709999999999</v>
      </c>
      <c r="AD177" s="6">
        <f t="shared" ref="AD177" si="189">AD179+AD180+AD181+AD182+AD183+AD184+AD185+AD186</f>
        <v>8546.5639999999985</v>
      </c>
      <c r="AE177" s="6">
        <f>AE179+AE180+AE181+AE182+AE183+AE184+AE185+AE186</f>
        <v>9867.9429999999993</v>
      </c>
    </row>
    <row r="179" spans="2:31">
      <c r="C179" s="23" t="s">
        <v>140</v>
      </c>
      <c r="F179" s="2">
        <v>100.27200000000001</v>
      </c>
      <c r="G179" s="2">
        <v>119.768</v>
      </c>
      <c r="H179" s="2">
        <v>168.71899999999999</v>
      </c>
      <c r="I179" s="2">
        <v>729.32799999999997</v>
      </c>
      <c r="J179" s="2">
        <v>1406.4079999999999</v>
      </c>
      <c r="K179" s="2">
        <v>1582.5709999999999</v>
      </c>
      <c r="L179" s="1">
        <f>-L216</f>
        <v>3557.4684536335299</v>
      </c>
      <c r="M179" s="1">
        <f t="shared" ref="M179:U180" si="190">-M216</f>
        <v>4742.0875171241423</v>
      </c>
      <c r="N179" s="1">
        <f t="shared" si="190"/>
        <v>5628.4431479666509</v>
      </c>
      <c r="O179" s="1">
        <f t="shared" si="190"/>
        <v>6481.5898921780054</v>
      </c>
      <c r="P179" s="1">
        <f t="shared" si="190"/>
        <v>7475.1324081261801</v>
      </c>
      <c r="Q179" s="1">
        <f t="shared" si="190"/>
        <v>8609.2226417057464</v>
      </c>
      <c r="R179" s="1">
        <f t="shared" si="190"/>
        <v>9689.4642649349607</v>
      </c>
      <c r="S179" s="1">
        <f t="shared" si="190"/>
        <v>10704.64400254949</v>
      </c>
      <c r="T179" s="1">
        <f t="shared" si="190"/>
        <v>11796.015055566848</v>
      </c>
      <c r="U179" s="1">
        <f t="shared" si="190"/>
        <v>12967.325971828275</v>
      </c>
      <c r="X179" s="2"/>
      <c r="Y179" s="2">
        <v>168.71899999999999</v>
      </c>
      <c r="Z179" s="2">
        <v>411.56200000000001</v>
      </c>
      <c r="AA179" s="2">
        <v>729.32799999999997</v>
      </c>
      <c r="AB179" s="2">
        <v>909.822</v>
      </c>
      <c r="AC179" s="2">
        <v>1406.4079999999999</v>
      </c>
      <c r="AD179" s="2">
        <v>1206.818</v>
      </c>
      <c r="AE179" s="2">
        <v>1582.5709999999999</v>
      </c>
    </row>
    <row r="180" spans="2:31">
      <c r="C180" s="23" t="s">
        <v>141</v>
      </c>
      <c r="F180" s="2">
        <v>284.74299999999999</v>
      </c>
      <c r="G180" s="2">
        <v>363.97899999999998</v>
      </c>
      <c r="H180" s="2">
        <v>510.73500000000001</v>
      </c>
      <c r="I180" s="2">
        <v>906.46400000000006</v>
      </c>
      <c r="J180" s="2">
        <f>300+1276.989</f>
        <v>1576.989</v>
      </c>
      <c r="K180" s="2">
        <f>23.982+2224.784</f>
        <v>2248.7660000000001</v>
      </c>
      <c r="L180" s="1">
        <f>-L217</f>
        <v>5055.011184081889</v>
      </c>
      <c r="M180" s="1">
        <f t="shared" si="190"/>
        <v>6738.3044283846912</v>
      </c>
      <c r="N180" s="1">
        <f t="shared" si="190"/>
        <v>7997.7780359177395</v>
      </c>
      <c r="O180" s="1">
        <f t="shared" si="190"/>
        <v>9210.0632296898948</v>
      </c>
      <c r="P180" s="1">
        <f t="shared" si="190"/>
        <v>10621.844836593289</v>
      </c>
      <c r="Q180" s="1">
        <f t="shared" si="190"/>
        <v>12233.338765273764</v>
      </c>
      <c r="R180" s="1">
        <f t="shared" si="190"/>
        <v>13768.316111694663</v>
      </c>
      <c r="S180" s="1">
        <f t="shared" si="190"/>
        <v>15210.843289202956</v>
      </c>
      <c r="T180" s="1">
        <f t="shared" si="190"/>
        <v>16761.635081425629</v>
      </c>
      <c r="U180" s="1">
        <f t="shared" si="190"/>
        <v>18426.018015219779</v>
      </c>
      <c r="X180" s="2"/>
      <c r="Y180" s="2">
        <v>510.73500000000001</v>
      </c>
      <c r="Z180" s="2">
        <v>589.66499999999996</v>
      </c>
      <c r="AA180" s="2">
        <v>906.46400000000006</v>
      </c>
      <c r="AB180" s="2">
        <v>1208.489</v>
      </c>
      <c r="AC180" s="2">
        <f>300+1276.989</f>
        <v>1576.989</v>
      </c>
      <c r="AD180" s="2">
        <f>111.808+1633.912</f>
        <v>1745.72</v>
      </c>
      <c r="AE180" s="2">
        <f>23.982+2224.784</f>
        <v>2248.7660000000001</v>
      </c>
    </row>
    <row r="181" spans="2:31">
      <c r="C181" s="23" t="s">
        <v>142</v>
      </c>
      <c r="F181" s="2">
        <v>154.31899999999999</v>
      </c>
      <c r="G181" s="2">
        <v>212.505</v>
      </c>
      <c r="H181" s="2">
        <v>1202.588</v>
      </c>
      <c r="I181" s="2">
        <v>592.66300000000001</v>
      </c>
      <c r="J181" s="2">
        <v>1071.8050000000001</v>
      </c>
      <c r="K181" s="2">
        <v>387.072</v>
      </c>
      <c r="L181" s="3">
        <f>K181</f>
        <v>387.072</v>
      </c>
      <c r="M181" s="3">
        <f t="shared" ref="M181:U184" si="191">L181</f>
        <v>387.072</v>
      </c>
      <c r="N181" s="3">
        <f t="shared" si="191"/>
        <v>387.072</v>
      </c>
      <c r="O181" s="3">
        <f t="shared" si="191"/>
        <v>387.072</v>
      </c>
      <c r="P181" s="3">
        <f t="shared" si="191"/>
        <v>387.072</v>
      </c>
      <c r="Q181" s="3">
        <f t="shared" si="191"/>
        <v>387.072</v>
      </c>
      <c r="R181" s="3">
        <f t="shared" si="191"/>
        <v>387.072</v>
      </c>
      <c r="S181" s="3">
        <f t="shared" si="191"/>
        <v>387.072</v>
      </c>
      <c r="T181" s="3">
        <f t="shared" si="191"/>
        <v>387.072</v>
      </c>
      <c r="U181" s="3">
        <f t="shared" si="191"/>
        <v>387.072</v>
      </c>
      <c r="X181" s="2"/>
      <c r="Y181" s="2">
        <v>1202.588</v>
      </c>
      <c r="Z181" s="2">
        <v>651.18499999999995</v>
      </c>
      <c r="AA181" s="2">
        <v>592.66300000000001</v>
      </c>
      <c r="AB181" s="2">
        <v>370.48399999999998</v>
      </c>
      <c r="AC181" s="2">
        <v>1071.8050000000001</v>
      </c>
      <c r="AD181" s="2">
        <v>1119.067</v>
      </c>
      <c r="AE181" s="2">
        <v>387.072</v>
      </c>
    </row>
    <row r="182" spans="2:31">
      <c r="C182" s="1" t="s">
        <v>143</v>
      </c>
      <c r="F182" s="2">
        <v>0</v>
      </c>
      <c r="G182" s="2">
        <v>0</v>
      </c>
      <c r="H182" s="2">
        <v>0</v>
      </c>
      <c r="I182" s="2">
        <v>128.416</v>
      </c>
      <c r="J182" s="2">
        <v>3.8050000000000002</v>
      </c>
      <c r="K182" s="2">
        <v>3.8050000000000002</v>
      </c>
      <c r="L182" s="1">
        <f>K182</f>
        <v>3.8050000000000002</v>
      </c>
      <c r="M182" s="1">
        <f t="shared" si="191"/>
        <v>3.8050000000000002</v>
      </c>
      <c r="N182" s="1">
        <f t="shared" si="191"/>
        <v>3.8050000000000002</v>
      </c>
      <c r="O182" s="1">
        <f t="shared" si="191"/>
        <v>3.8050000000000002</v>
      </c>
      <c r="P182" s="1">
        <f t="shared" si="191"/>
        <v>3.8050000000000002</v>
      </c>
      <c r="Q182" s="1">
        <f t="shared" si="191"/>
        <v>3.8050000000000002</v>
      </c>
      <c r="R182" s="1">
        <f t="shared" si="191"/>
        <v>3.8050000000000002</v>
      </c>
      <c r="S182" s="1">
        <f t="shared" si="191"/>
        <v>3.8050000000000002</v>
      </c>
      <c r="T182" s="1">
        <f t="shared" si="191"/>
        <v>3.8050000000000002</v>
      </c>
      <c r="U182" s="1">
        <f t="shared" si="191"/>
        <v>3.8050000000000002</v>
      </c>
      <c r="X182" s="2"/>
      <c r="Y182" s="2">
        <v>0</v>
      </c>
      <c r="Z182" s="2">
        <v>128.416</v>
      </c>
      <c r="AA182" s="2">
        <v>128.416</v>
      </c>
      <c r="AB182" s="2">
        <v>0</v>
      </c>
      <c r="AC182" s="2">
        <v>3.8050000000000002</v>
      </c>
      <c r="AD182" s="2">
        <v>3.8050000000000002</v>
      </c>
      <c r="AE182" s="2">
        <v>3.8050000000000002</v>
      </c>
    </row>
    <row r="183" spans="2:31">
      <c r="C183" s="23" t="s">
        <v>144</v>
      </c>
      <c r="F183" s="2">
        <v>45.49</v>
      </c>
      <c r="G183" s="2">
        <v>105.366</v>
      </c>
      <c r="H183" s="2">
        <v>79.751999999999995</v>
      </c>
      <c r="I183" s="2">
        <v>160.72399999999999</v>
      </c>
      <c r="J183" s="2">
        <v>224.30099999999999</v>
      </c>
      <c r="K183" s="2">
        <v>201.41200000000001</v>
      </c>
      <c r="L183" s="3">
        <f>K183</f>
        <v>201.41200000000001</v>
      </c>
      <c r="M183" s="3">
        <f t="shared" si="191"/>
        <v>201.41200000000001</v>
      </c>
      <c r="N183" s="3">
        <f t="shared" si="191"/>
        <v>201.41200000000001</v>
      </c>
      <c r="O183" s="3">
        <f t="shared" si="191"/>
        <v>201.41200000000001</v>
      </c>
      <c r="P183" s="3">
        <f t="shared" si="191"/>
        <v>201.41200000000001</v>
      </c>
      <c r="Q183" s="3">
        <f t="shared" si="191"/>
        <v>201.41200000000001</v>
      </c>
      <c r="R183" s="3">
        <f t="shared" si="191"/>
        <v>201.41200000000001</v>
      </c>
      <c r="S183" s="3">
        <f t="shared" si="191"/>
        <v>201.41200000000001</v>
      </c>
      <c r="T183" s="3">
        <f t="shared" si="191"/>
        <v>201.41200000000001</v>
      </c>
      <c r="U183" s="3">
        <f t="shared" si="191"/>
        <v>201.41200000000001</v>
      </c>
      <c r="X183" s="2"/>
      <c r="Y183" s="2">
        <v>79.751999999999995</v>
      </c>
      <c r="Z183" s="2">
        <v>67.02</v>
      </c>
      <c r="AA183" s="2">
        <v>160.72399999999999</v>
      </c>
      <c r="AB183" s="2">
        <v>114.532</v>
      </c>
      <c r="AC183" s="2">
        <v>224.30099999999999</v>
      </c>
      <c r="AD183" s="2">
        <v>38.994999999999997</v>
      </c>
      <c r="AE183" s="2">
        <v>201.41200000000001</v>
      </c>
    </row>
    <row r="184" spans="2:31">
      <c r="C184" s="1" t="s">
        <v>145</v>
      </c>
      <c r="F184" s="2">
        <v>414.39100000000002</v>
      </c>
      <c r="G184" s="2">
        <v>567.45100000000002</v>
      </c>
      <c r="H184" s="2">
        <v>347.76400000000001</v>
      </c>
      <c r="I184" s="2">
        <v>410.35399999999998</v>
      </c>
      <c r="J184" s="2">
        <f>122.174+22.602</f>
        <v>144.77600000000001</v>
      </c>
      <c r="K184" s="2">
        <f>3721.208+22.936</f>
        <v>3744.1440000000002</v>
      </c>
      <c r="L184" s="3">
        <f>K184</f>
        <v>3744.1440000000002</v>
      </c>
      <c r="M184" s="3">
        <f>L184</f>
        <v>3744.1440000000002</v>
      </c>
      <c r="N184" s="3">
        <f t="shared" si="191"/>
        <v>3744.1440000000002</v>
      </c>
      <c r="O184" s="3">
        <f t="shared" si="191"/>
        <v>3744.1440000000002</v>
      </c>
      <c r="P184" s="3">
        <f t="shared" si="191"/>
        <v>3744.1440000000002</v>
      </c>
      <c r="Q184" s="3">
        <f t="shared" si="191"/>
        <v>3744.1440000000002</v>
      </c>
      <c r="R184" s="3">
        <f t="shared" si="191"/>
        <v>3744.1440000000002</v>
      </c>
      <c r="S184" s="3">
        <f t="shared" si="191"/>
        <v>3744.1440000000002</v>
      </c>
      <c r="T184" s="3">
        <f t="shared" si="191"/>
        <v>3744.1440000000002</v>
      </c>
      <c r="U184" s="3">
        <f t="shared" si="191"/>
        <v>3744.1440000000002</v>
      </c>
      <c r="X184" s="2"/>
      <c r="Y184" s="2">
        <v>347.76400000000001</v>
      </c>
      <c r="Z184" s="2">
        <v>1094.241</v>
      </c>
      <c r="AA184" s="2">
        <v>410.35399999999998</v>
      </c>
      <c r="AB184" s="2">
        <f>423.599+10.131</f>
        <v>433.73</v>
      </c>
      <c r="AC184" s="2">
        <f>122.174+22.602</f>
        <v>144.77600000000001</v>
      </c>
      <c r="AD184" s="2">
        <f>3013.212+22.602</f>
        <v>3035.8139999999999</v>
      </c>
      <c r="AE184" s="2">
        <f>3721.208+22.936</f>
        <v>3744.1440000000002</v>
      </c>
    </row>
    <row r="185" spans="2:31">
      <c r="C185" s="1" t="s">
        <v>146</v>
      </c>
      <c r="F185" s="2">
        <v>0</v>
      </c>
      <c r="G185" s="2">
        <v>0</v>
      </c>
      <c r="H185" s="2">
        <v>0</v>
      </c>
      <c r="I185" s="2">
        <v>0</v>
      </c>
      <c r="J185" s="2">
        <v>733.20299999999997</v>
      </c>
      <c r="K185" s="2">
        <v>1057.6130000000001</v>
      </c>
      <c r="L185" s="1">
        <f t="shared" ref="L185:U185" si="192">K185*L158/K158</f>
        <v>1069.2954294659746</v>
      </c>
      <c r="M185" s="1">
        <f t="shared" si="192"/>
        <v>1131.8558520934637</v>
      </c>
      <c r="N185" s="1">
        <f t="shared" si="192"/>
        <v>1117.134051017503</v>
      </c>
      <c r="O185" s="1">
        <f t="shared" si="192"/>
        <v>1105.1631630793227</v>
      </c>
      <c r="P185" s="1">
        <f t="shared" si="192"/>
        <v>1095.429153137939</v>
      </c>
      <c r="Q185" s="1">
        <f t="shared" si="192"/>
        <v>1087.5140385676359</v>
      </c>
      <c r="R185" s="1">
        <f t="shared" si="192"/>
        <v>1015.4857466740909</v>
      </c>
      <c r="S185" s="1">
        <f t="shared" si="192"/>
        <v>956.91664862778327</v>
      </c>
      <c r="T185" s="1">
        <f t="shared" si="192"/>
        <v>909.29176185373694</v>
      </c>
      <c r="U185" s="1">
        <f t="shared" si="192"/>
        <v>870.56605297484293</v>
      </c>
      <c r="X185" s="2"/>
      <c r="Y185" s="2">
        <v>0</v>
      </c>
      <c r="Z185" s="2">
        <v>0</v>
      </c>
      <c r="AA185" s="2">
        <v>0</v>
      </c>
      <c r="AB185" s="2">
        <v>449.59800000000001</v>
      </c>
      <c r="AC185" s="2">
        <v>733.20299999999997</v>
      </c>
      <c r="AD185" s="2">
        <v>857.702</v>
      </c>
      <c r="AE185" s="2">
        <v>1057.6130000000001</v>
      </c>
    </row>
    <row r="186" spans="2:31">
      <c r="C186" s="23" t="s">
        <v>147</v>
      </c>
      <c r="F186" s="2">
        <v>245.20400000000001</v>
      </c>
      <c r="G186" s="2">
        <v>273.24900000000002</v>
      </c>
      <c r="H186" s="2">
        <v>308.57900000000001</v>
      </c>
      <c r="I186" s="2">
        <v>378.03899999999999</v>
      </c>
      <c r="J186" s="2">
        <v>502.78399999999999</v>
      </c>
      <c r="K186" s="2">
        <v>642.55999999999995</v>
      </c>
      <c r="L186" s="1">
        <f>-L218</f>
        <v>1444.4135078721656</v>
      </c>
      <c r="M186" s="1">
        <f t="shared" ref="M186:U186" si="193">-M218</f>
        <v>1925.3959253665641</v>
      </c>
      <c r="N186" s="1">
        <f t="shared" si="193"/>
        <v>2285.2765715771684</v>
      </c>
      <c r="O186" s="1">
        <f t="shared" si="193"/>
        <v>2631.6736507353539</v>
      </c>
      <c r="P186" s="1">
        <f t="shared" si="193"/>
        <v>3035.0746223490501</v>
      </c>
      <c r="Q186" s="1">
        <f t="shared" si="193"/>
        <v>3495.541179924594</v>
      </c>
      <c r="R186" s="1">
        <f t="shared" si="193"/>
        <v>3934.1439708402395</v>
      </c>
      <c r="S186" s="1">
        <f t="shared" si="193"/>
        <v>4346.3301490285121</v>
      </c>
      <c r="T186" s="1">
        <f t="shared" si="193"/>
        <v>4789.4517428317813</v>
      </c>
      <c r="U186" s="1">
        <f t="shared" si="193"/>
        <v>5265.0307483569304</v>
      </c>
      <c r="X186" s="2"/>
      <c r="Y186" s="2">
        <v>308.57900000000001</v>
      </c>
      <c r="Z186" s="2">
        <v>372.42599999999999</v>
      </c>
      <c r="AA186" s="2">
        <v>378.03899999999999</v>
      </c>
      <c r="AB186" s="2">
        <v>436.80900000000003</v>
      </c>
      <c r="AC186" s="2">
        <v>502.78399999999999</v>
      </c>
      <c r="AD186" s="2">
        <v>538.64300000000003</v>
      </c>
      <c r="AE186" s="2">
        <v>642.55999999999995</v>
      </c>
    </row>
    <row r="188" spans="2:31" s="6" customFormat="1">
      <c r="B188" s="6" t="s">
        <v>148</v>
      </c>
      <c r="F188" s="6">
        <f t="shared" ref="F188:I188" si="194">F190+F191+F192+F193</f>
        <v>5.2810000000000006</v>
      </c>
      <c r="G188" s="6">
        <f t="shared" si="194"/>
        <v>35.464999999999996</v>
      </c>
      <c r="H188" s="6">
        <f t="shared" si="194"/>
        <v>26.707000000000001</v>
      </c>
      <c r="I188" s="6">
        <f t="shared" si="194"/>
        <v>9.0969999999999995</v>
      </c>
      <c r="J188" s="6">
        <f>J190+J191+J192+J193</f>
        <v>4323.8280000000004</v>
      </c>
      <c r="K188" s="6">
        <f>K190+K191+K192+K193</f>
        <v>7421.9430000000002</v>
      </c>
      <c r="L188" s="6">
        <f t="shared" ref="L188:U188" si="195">L190+L191+L192+L193</f>
        <v>7499.3140745636556</v>
      </c>
      <c r="M188" s="6">
        <f t="shared" si="195"/>
        <v>7913.6428867292207</v>
      </c>
      <c r="N188" s="6">
        <f t="shared" si="195"/>
        <v>7816.1424847728513</v>
      </c>
      <c r="O188" s="6">
        <f t="shared" si="195"/>
        <v>7736.8609906319525</v>
      </c>
      <c r="P188" s="6">
        <f t="shared" si="195"/>
        <v>7672.3940224236976</v>
      </c>
      <c r="Q188" s="6">
        <f t="shared" si="195"/>
        <v>7619.9733404600338</v>
      </c>
      <c r="R188" s="6">
        <f t="shared" si="195"/>
        <v>7142.9401720579099</v>
      </c>
      <c r="S188" s="6">
        <f t="shared" si="195"/>
        <v>6755.0453368898316</v>
      </c>
      <c r="T188" s="6">
        <f t="shared" si="195"/>
        <v>6439.6324618185608</v>
      </c>
      <c r="U188" s="6">
        <f t="shared" si="195"/>
        <v>6183.1575806368701</v>
      </c>
      <c r="X188" s="6">
        <f t="shared" ref="X188:AA188" si="196">X190+X191+X192+X193</f>
        <v>0</v>
      </c>
      <c r="Y188" s="6">
        <f>Y190+Y191+Y192+Y193</f>
        <v>26.707000000000001</v>
      </c>
      <c r="Z188" s="6">
        <f t="shared" si="196"/>
        <v>22.09</v>
      </c>
      <c r="AA188" s="6">
        <f t="shared" si="196"/>
        <v>9.0969999999999995</v>
      </c>
      <c r="AB188" s="6">
        <f>AB190+AB191+AB192+AB193</f>
        <v>3803.8620000000001</v>
      </c>
      <c r="AC188" s="6">
        <f>AC190+AC191+AC192+AC193</f>
        <v>4323.8280000000004</v>
      </c>
      <c r="AD188" s="6">
        <f t="shared" ref="AD188" si="197">AD190+AD191+AD192+AD193</f>
        <v>5565.1369999999997</v>
      </c>
      <c r="AE188" s="6">
        <f>AE190+AE191+AE192+AE193</f>
        <v>7421.9430000000002</v>
      </c>
    </row>
    <row r="190" spans="2:31">
      <c r="C190" s="23" t="s">
        <v>149</v>
      </c>
      <c r="F190" s="2">
        <v>3.29</v>
      </c>
      <c r="G190" s="2">
        <v>21.742999999999999</v>
      </c>
      <c r="H190" s="2">
        <v>13.398</v>
      </c>
      <c r="I190" s="2">
        <v>1.6180000000000001</v>
      </c>
      <c r="J190" s="2">
        <v>46.76</v>
      </c>
      <c r="K190" s="2">
        <v>21.398</v>
      </c>
      <c r="L190" s="3">
        <f>K190</f>
        <v>21.398</v>
      </c>
      <c r="M190" s="3">
        <f t="shared" ref="M190:U191" si="198">L190</f>
        <v>21.398</v>
      </c>
      <c r="N190" s="3">
        <f t="shared" si="198"/>
        <v>21.398</v>
      </c>
      <c r="O190" s="3">
        <f t="shared" si="198"/>
        <v>21.398</v>
      </c>
      <c r="P190" s="3">
        <f t="shared" si="198"/>
        <v>21.398</v>
      </c>
      <c r="Q190" s="3">
        <f t="shared" si="198"/>
        <v>21.398</v>
      </c>
      <c r="R190" s="3">
        <f t="shared" si="198"/>
        <v>21.398</v>
      </c>
      <c r="S190" s="3">
        <f t="shared" si="198"/>
        <v>21.398</v>
      </c>
      <c r="T190" s="3">
        <f t="shared" si="198"/>
        <v>21.398</v>
      </c>
      <c r="U190" s="3">
        <f t="shared" si="198"/>
        <v>21.398</v>
      </c>
      <c r="X190" s="2"/>
      <c r="Y190" s="2">
        <v>13.398</v>
      </c>
      <c r="Z190" s="2">
        <v>1.0269999999999999</v>
      </c>
      <c r="AA190" s="2">
        <v>1.6180000000000001</v>
      </c>
      <c r="AB190" s="2">
        <v>6.4089999999999998</v>
      </c>
      <c r="AC190" s="2">
        <v>46.76</v>
      </c>
      <c r="AD190" s="2">
        <v>10.72</v>
      </c>
      <c r="AE190" s="2">
        <v>21.398</v>
      </c>
    </row>
    <row r="191" spans="2:31">
      <c r="C191" s="1" t="s">
        <v>145</v>
      </c>
      <c r="F191" s="2">
        <v>0</v>
      </c>
      <c r="G191" s="2">
        <v>11.111000000000001</v>
      </c>
      <c r="H191" s="2">
        <v>9.4559999999999995</v>
      </c>
      <c r="I191" s="2">
        <v>0</v>
      </c>
      <c r="J191" s="2">
        <v>84.757999999999996</v>
      </c>
      <c r="K191" s="2">
        <f>268.16+62.156</f>
        <v>330.31600000000003</v>
      </c>
      <c r="L191" s="3">
        <f>K191</f>
        <v>330.31600000000003</v>
      </c>
      <c r="M191" s="3">
        <f t="shared" si="198"/>
        <v>330.31600000000003</v>
      </c>
      <c r="N191" s="3">
        <f t="shared" si="198"/>
        <v>330.31600000000003</v>
      </c>
      <c r="O191" s="3">
        <f t="shared" si="198"/>
        <v>330.31600000000003</v>
      </c>
      <c r="P191" s="3">
        <f t="shared" si="198"/>
        <v>330.31600000000003</v>
      </c>
      <c r="Q191" s="3">
        <f t="shared" si="198"/>
        <v>330.31600000000003</v>
      </c>
      <c r="R191" s="3">
        <f t="shared" si="198"/>
        <v>330.31600000000003</v>
      </c>
      <c r="S191" s="3">
        <f t="shared" si="198"/>
        <v>330.31600000000003</v>
      </c>
      <c r="T191" s="3">
        <f t="shared" si="198"/>
        <v>330.31600000000003</v>
      </c>
      <c r="U191" s="3">
        <f t="shared" si="198"/>
        <v>330.31600000000003</v>
      </c>
      <c r="X191" s="2"/>
      <c r="Y191" s="2">
        <v>9.4559999999999995</v>
      </c>
      <c r="Z191" s="2">
        <v>17.241</v>
      </c>
      <c r="AA191" s="2">
        <v>0</v>
      </c>
      <c r="AB191" s="2">
        <v>86.114999999999995</v>
      </c>
      <c r="AC191" s="2">
        <v>84.757999999999996</v>
      </c>
      <c r="AD191" s="2">
        <f>291.971+73.457</f>
        <v>365.428</v>
      </c>
      <c r="AE191" s="2">
        <f>268.16+62.156</f>
        <v>330.31600000000003</v>
      </c>
    </row>
    <row r="192" spans="2:31">
      <c r="C192" s="1" t="s">
        <v>146</v>
      </c>
      <c r="F192" s="2">
        <v>0</v>
      </c>
      <c r="G192" s="2">
        <v>0</v>
      </c>
      <c r="H192" s="2">
        <v>0</v>
      </c>
      <c r="I192" s="2">
        <v>0</v>
      </c>
      <c r="J192" s="2">
        <v>4142.96</v>
      </c>
      <c r="K192" s="2">
        <v>7004.4210000000003</v>
      </c>
      <c r="L192" s="1">
        <f t="shared" ref="L192:U192" si="199">K192*L158/K158</f>
        <v>7081.7920745636557</v>
      </c>
      <c r="M192" s="1">
        <f t="shared" si="199"/>
        <v>7496.1208867292207</v>
      </c>
      <c r="N192" s="1">
        <f t="shared" si="199"/>
        <v>7398.6204847728513</v>
      </c>
      <c r="O192" s="1">
        <f t="shared" si="199"/>
        <v>7319.3389906319526</v>
      </c>
      <c r="P192" s="1">
        <f t="shared" si="199"/>
        <v>7254.8720224236977</v>
      </c>
      <c r="Q192" s="1">
        <f t="shared" si="199"/>
        <v>7202.4513404600339</v>
      </c>
      <c r="R192" s="1">
        <f t="shared" si="199"/>
        <v>6725.4181720579099</v>
      </c>
      <c r="S192" s="1">
        <f t="shared" si="199"/>
        <v>6337.5233368898316</v>
      </c>
      <c r="T192" s="1">
        <f t="shared" si="199"/>
        <v>6022.1104618185609</v>
      </c>
      <c r="U192" s="1">
        <f t="shared" si="199"/>
        <v>5765.6355806368701</v>
      </c>
      <c r="X192" s="2"/>
      <c r="Y192" s="2">
        <v>0</v>
      </c>
      <c r="Z192" s="2">
        <v>0</v>
      </c>
      <c r="AA192" s="2">
        <v>0</v>
      </c>
      <c r="AB192" s="2">
        <v>3703.145</v>
      </c>
      <c r="AC192" s="2">
        <v>4142.96</v>
      </c>
      <c r="AD192" s="2">
        <v>5130.2049999999999</v>
      </c>
      <c r="AE192" s="2">
        <v>7004.4210000000003</v>
      </c>
    </row>
    <row r="193" spans="2:31">
      <c r="C193" s="23" t="s">
        <v>150</v>
      </c>
      <c r="F193" s="2">
        <v>1.9910000000000001</v>
      </c>
      <c r="G193" s="2">
        <v>2.6110000000000002</v>
      </c>
      <c r="H193" s="2">
        <v>3.8530000000000002</v>
      </c>
      <c r="I193" s="2">
        <v>7.4790000000000001</v>
      </c>
      <c r="J193" s="2">
        <v>49.35</v>
      </c>
      <c r="K193" s="2">
        <v>65.808000000000007</v>
      </c>
      <c r="L193" s="3">
        <f>K193</f>
        <v>65.808000000000007</v>
      </c>
      <c r="M193" s="3">
        <f t="shared" ref="M193:U193" si="200">L193</f>
        <v>65.808000000000007</v>
      </c>
      <c r="N193" s="3">
        <f t="shared" si="200"/>
        <v>65.808000000000007</v>
      </c>
      <c r="O193" s="3">
        <f t="shared" si="200"/>
        <v>65.808000000000007</v>
      </c>
      <c r="P193" s="3">
        <f t="shared" si="200"/>
        <v>65.808000000000007</v>
      </c>
      <c r="Q193" s="3">
        <f t="shared" si="200"/>
        <v>65.808000000000007</v>
      </c>
      <c r="R193" s="3">
        <f t="shared" si="200"/>
        <v>65.808000000000007</v>
      </c>
      <c r="S193" s="3">
        <f t="shared" si="200"/>
        <v>65.808000000000007</v>
      </c>
      <c r="T193" s="3">
        <f t="shared" si="200"/>
        <v>65.808000000000007</v>
      </c>
      <c r="U193" s="3">
        <f t="shared" si="200"/>
        <v>65.808000000000007</v>
      </c>
      <c r="X193" s="2"/>
      <c r="Y193" s="2">
        <v>3.8530000000000002</v>
      </c>
      <c r="Z193" s="2">
        <v>3.8220000000000001</v>
      </c>
      <c r="AA193" s="2">
        <v>7.4790000000000001</v>
      </c>
      <c r="AB193" s="2">
        <v>8.1929999999999996</v>
      </c>
      <c r="AC193" s="2">
        <v>49.35</v>
      </c>
      <c r="AD193" s="2">
        <v>58.783999999999999</v>
      </c>
      <c r="AE193" s="2">
        <v>65.808000000000007</v>
      </c>
    </row>
    <row r="195" spans="2:31" s="6" customFormat="1">
      <c r="B195" s="6" t="s">
        <v>151</v>
      </c>
      <c r="F195" s="6">
        <f>F177+F188</f>
        <v>1249.6999999999998</v>
      </c>
      <c r="G195" s="6">
        <f t="shared" ref="G195:U195" si="201">G177+G188</f>
        <v>1677.7829999999999</v>
      </c>
      <c r="H195" s="6">
        <f t="shared" si="201"/>
        <v>2644.8440000000001</v>
      </c>
      <c r="I195" s="6">
        <f t="shared" si="201"/>
        <v>3315.0850000000005</v>
      </c>
      <c r="J195" s="6">
        <f t="shared" si="201"/>
        <v>9987.8990000000013</v>
      </c>
      <c r="K195" s="6">
        <f t="shared" si="201"/>
        <v>17289.885999999999</v>
      </c>
      <c r="L195" s="6">
        <f t="shared" si="201"/>
        <v>22961.935649617215</v>
      </c>
      <c r="M195" s="6">
        <f t="shared" si="201"/>
        <v>26787.719609698081</v>
      </c>
      <c r="N195" s="6">
        <f t="shared" si="201"/>
        <v>29181.207291251914</v>
      </c>
      <c r="O195" s="6">
        <f t="shared" si="201"/>
        <v>31501.783926314529</v>
      </c>
      <c r="P195" s="6">
        <f t="shared" si="201"/>
        <v>34236.30804263016</v>
      </c>
      <c r="Q195" s="6">
        <f t="shared" si="201"/>
        <v>37382.022965931777</v>
      </c>
      <c r="R195" s="6">
        <f t="shared" si="201"/>
        <v>39886.783266201863</v>
      </c>
      <c r="S195" s="6">
        <f t="shared" si="201"/>
        <v>42310.212426298574</v>
      </c>
      <c r="T195" s="6">
        <f t="shared" si="201"/>
        <v>45032.459103496556</v>
      </c>
      <c r="U195" s="6">
        <f t="shared" si="201"/>
        <v>48048.531369016702</v>
      </c>
      <c r="X195" s="6">
        <f t="shared" ref="X195:AE195" si="202">X177+X188</f>
        <v>0</v>
      </c>
      <c r="Y195" s="6">
        <f>Y177+Y188</f>
        <v>2644.8440000000001</v>
      </c>
      <c r="Z195" s="6">
        <f t="shared" si="202"/>
        <v>3336.605</v>
      </c>
      <c r="AA195" s="6">
        <f>AA177+AA188</f>
        <v>3315.0850000000005</v>
      </c>
      <c r="AB195" s="6">
        <f t="shared" si="202"/>
        <v>7727.3260000000009</v>
      </c>
      <c r="AC195" s="6">
        <f t="shared" si="202"/>
        <v>9987.8990000000013</v>
      </c>
      <c r="AD195" s="6">
        <f t="shared" si="202"/>
        <v>14111.700999999997</v>
      </c>
      <c r="AE195" s="6">
        <f t="shared" si="202"/>
        <v>17289.885999999999</v>
      </c>
    </row>
    <row r="197" spans="2:31">
      <c r="B197" s="1" t="s">
        <v>152</v>
      </c>
      <c r="F197" s="1">
        <f>F198+F199</f>
        <v>719.22799999999995</v>
      </c>
      <c r="G197" s="1">
        <f t="shared" ref="G197:U197" si="203">G198+G199</f>
        <v>802.01700000000005</v>
      </c>
      <c r="H197" s="1">
        <f t="shared" si="203"/>
        <v>1089.085</v>
      </c>
      <c r="I197" s="1">
        <f t="shared" si="203"/>
        <v>8624.9719999999998</v>
      </c>
      <c r="J197" s="1">
        <f t="shared" si="203"/>
        <v>10623.000999999998</v>
      </c>
      <c r="K197" s="1">
        <f t="shared" si="203"/>
        <v>10233.950999999999</v>
      </c>
      <c r="L197" s="1">
        <f t="shared" si="203"/>
        <v>13995.512829465755</v>
      </c>
      <c r="M197" s="1">
        <f t="shared" si="203"/>
        <v>19674.763301615578</v>
      </c>
      <c r="N197" s="1">
        <f t="shared" si="203"/>
        <v>25872.715452915159</v>
      </c>
      <c r="O197" s="1">
        <f t="shared" si="203"/>
        <v>32987.400749442524</v>
      </c>
      <c r="P197" s="1">
        <f t="shared" si="203"/>
        <v>41613.968745904975</v>
      </c>
      <c r="Q197" s="1">
        <f t="shared" si="203"/>
        <v>52532.588937292967</v>
      </c>
      <c r="R197" s="1">
        <f t="shared" si="203"/>
        <v>65328.122597954811</v>
      </c>
      <c r="S197" s="1">
        <f t="shared" si="203"/>
        <v>79734.444685546725</v>
      </c>
      <c r="T197" s="1">
        <f t="shared" si="203"/>
        <v>95739.273448407126</v>
      </c>
      <c r="U197" s="1">
        <f t="shared" si="203"/>
        <v>113896.80849420797</v>
      </c>
      <c r="X197" s="1">
        <f t="shared" ref="X197:AE197" si="204">X198+X199</f>
        <v>0</v>
      </c>
      <c r="Y197" s="1">
        <f t="shared" si="204"/>
        <v>1089.085</v>
      </c>
      <c r="Z197" s="1">
        <f t="shared" si="204"/>
        <v>1156.6849999999999</v>
      </c>
      <c r="AA197" s="1">
        <f t="shared" si="204"/>
        <v>8624.9719999999998</v>
      </c>
      <c r="AB197" s="1">
        <f t="shared" si="204"/>
        <v>9190.9599999999991</v>
      </c>
      <c r="AC197" s="1">
        <f t="shared" si="204"/>
        <v>10623.000999999998</v>
      </c>
      <c r="AD197" s="1">
        <f t="shared" si="204"/>
        <v>8921.5919999999987</v>
      </c>
      <c r="AE197" s="1">
        <f t="shared" si="204"/>
        <v>10233.950999999999</v>
      </c>
    </row>
    <row r="198" spans="2:31">
      <c r="C198" s="1" t="s">
        <v>153</v>
      </c>
      <c r="F198" s="2">
        <v>0</v>
      </c>
      <c r="G198" s="2">
        <v>0</v>
      </c>
      <c r="H198" s="2">
        <v>0.107</v>
      </c>
      <c r="I198" s="2">
        <v>0.17499999999999999</v>
      </c>
      <c r="J198" s="2">
        <v>0.17499999999999999</v>
      </c>
      <c r="K198" s="2">
        <v>0.17499999999999999</v>
      </c>
      <c r="L198" s="3">
        <f>K198</f>
        <v>0.17499999999999999</v>
      </c>
      <c r="M198" s="3">
        <f t="shared" ref="M198:U198" si="205">L198</f>
        <v>0.17499999999999999</v>
      </c>
      <c r="N198" s="3">
        <f t="shared" si="205"/>
        <v>0.17499999999999999</v>
      </c>
      <c r="O198" s="3">
        <f t="shared" si="205"/>
        <v>0.17499999999999999</v>
      </c>
      <c r="P198" s="3">
        <f t="shared" si="205"/>
        <v>0.17499999999999999</v>
      </c>
      <c r="Q198" s="3">
        <f t="shared" si="205"/>
        <v>0.17499999999999999</v>
      </c>
      <c r="R198" s="3">
        <f t="shared" si="205"/>
        <v>0.17499999999999999</v>
      </c>
      <c r="S198" s="3">
        <f t="shared" si="205"/>
        <v>0.17499999999999999</v>
      </c>
      <c r="T198" s="3">
        <f t="shared" si="205"/>
        <v>0.17499999999999999</v>
      </c>
      <c r="U198" s="3">
        <f t="shared" si="205"/>
        <v>0.17499999999999999</v>
      </c>
      <c r="X198" s="2"/>
      <c r="Y198" s="2">
        <v>0.107</v>
      </c>
      <c r="Z198" s="2">
        <v>0.107</v>
      </c>
      <c r="AA198" s="2">
        <v>0.17499999999999999</v>
      </c>
      <c r="AB198" s="2">
        <v>0.17499999999999999</v>
      </c>
      <c r="AC198" s="2">
        <v>0.17499999999999999</v>
      </c>
      <c r="AD198" s="2">
        <v>0.17499999999999999</v>
      </c>
      <c r="AE198" s="2">
        <v>0.17499999999999999</v>
      </c>
    </row>
    <row r="199" spans="2:31">
      <c r="C199" s="1" t="s">
        <v>154</v>
      </c>
      <c r="F199" s="2">
        <v>719.22799999999995</v>
      </c>
      <c r="G199" s="2">
        <v>802.01700000000005</v>
      </c>
      <c r="H199" s="2">
        <v>1088.9780000000001</v>
      </c>
      <c r="I199" s="2">
        <v>8624.7970000000005</v>
      </c>
      <c r="J199" s="2">
        <v>10622.825999999999</v>
      </c>
      <c r="K199" s="2">
        <v>10233.776</v>
      </c>
      <c r="L199" s="1">
        <f>K199+L89-K101</f>
        <v>13995.337829465756</v>
      </c>
      <c r="M199" s="1">
        <f t="shared" ref="M199:T199" si="206">L199+M89-L101</f>
        <v>19674.588301615579</v>
      </c>
      <c r="N199" s="1">
        <f t="shared" si="206"/>
        <v>25872.54045291516</v>
      </c>
      <c r="O199" s="1">
        <f>N199+O89-N101</f>
        <v>32987.225749442521</v>
      </c>
      <c r="P199" s="1">
        <f t="shared" si="206"/>
        <v>41613.793745904972</v>
      </c>
      <c r="Q199" s="1">
        <f t="shared" si="206"/>
        <v>52532.413937292964</v>
      </c>
      <c r="R199" s="1">
        <f>Q199+R89-Q101</f>
        <v>65327.947597954808</v>
      </c>
      <c r="S199" s="1">
        <f t="shared" si="206"/>
        <v>79734.269685546722</v>
      </c>
      <c r="T199" s="1">
        <f t="shared" si="206"/>
        <v>95739.098448407123</v>
      </c>
      <c r="U199" s="1">
        <f>T199+U89-T101</f>
        <v>113896.63349420797</v>
      </c>
      <c r="X199" s="2"/>
      <c r="Y199" s="2">
        <v>1088.9780000000001</v>
      </c>
      <c r="Z199" s="2">
        <v>1156.578</v>
      </c>
      <c r="AA199" s="2">
        <v>8624.7970000000005</v>
      </c>
      <c r="AB199" s="2">
        <v>9190.7849999999999</v>
      </c>
      <c r="AC199" s="2">
        <v>10622.825999999999</v>
      </c>
      <c r="AD199" s="2">
        <v>8921.4169999999995</v>
      </c>
      <c r="AE199" s="2">
        <v>10233.776</v>
      </c>
    </row>
    <row r="200" spans="2:31" s="30" customFormat="1" outlineLevel="1">
      <c r="D200" s="30" t="s">
        <v>155</v>
      </c>
      <c r="F200" s="31"/>
      <c r="G200" s="31"/>
      <c r="H200" s="31">
        <v>0</v>
      </c>
      <c r="I200" s="31">
        <v>6492.1660000000002</v>
      </c>
      <c r="J200" s="31">
        <v>6147.1660000000002</v>
      </c>
      <c r="K200" s="31"/>
      <c r="X200" s="31"/>
      <c r="Y200" s="31"/>
      <c r="Z200" s="31"/>
      <c r="AA200" s="31"/>
      <c r="AB200" s="31"/>
      <c r="AC200" s="31"/>
      <c r="AD200" s="31"/>
      <c r="AE200" s="31"/>
    </row>
    <row r="201" spans="2:31" s="30" customFormat="1" outlineLevel="1">
      <c r="D201" s="30" t="s">
        <v>156</v>
      </c>
      <c r="F201" s="31"/>
      <c r="G201" s="31"/>
      <c r="H201" s="31">
        <v>87.825999999999993</v>
      </c>
      <c r="I201" s="31">
        <v>161.36799999999999</v>
      </c>
      <c r="J201" s="31">
        <v>253.238</v>
      </c>
      <c r="K201" s="31"/>
      <c r="X201" s="31"/>
      <c r="Y201" s="31"/>
      <c r="Z201" s="31"/>
      <c r="AA201" s="31"/>
      <c r="AB201" s="31"/>
      <c r="AC201" s="31"/>
      <c r="AD201" s="31"/>
      <c r="AE201" s="31"/>
    </row>
    <row r="202" spans="2:31" s="30" customFormat="1" outlineLevel="1">
      <c r="D202" s="30" t="s">
        <v>157</v>
      </c>
      <c r="F202" s="31"/>
      <c r="G202" s="31"/>
      <c r="H202" s="31">
        <v>1036.6880000000001</v>
      </c>
      <c r="I202" s="31">
        <v>2025.3</v>
      </c>
      <c r="J202" s="31">
        <v>4278.1409999999996</v>
      </c>
      <c r="K202" s="31"/>
      <c r="X202" s="31"/>
      <c r="Y202" s="31"/>
      <c r="Z202" s="31"/>
      <c r="AA202" s="31"/>
      <c r="AB202" s="31"/>
      <c r="AC202" s="31"/>
      <c r="AD202" s="31"/>
      <c r="AE202" s="31"/>
    </row>
    <row r="203" spans="2:31" s="30" customFormat="1" outlineLevel="1">
      <c r="D203" s="30" t="s">
        <v>158</v>
      </c>
      <c r="H203" s="30">
        <f>H199-H200-H201-H202</f>
        <v>-35.536000000000058</v>
      </c>
      <c r="I203" s="30">
        <f t="shared" ref="I203:J203" si="207">I199-I200-I201-I202</f>
        <v>-54.03699999999958</v>
      </c>
      <c r="J203" s="30">
        <f t="shared" si="207"/>
        <v>-55.71900000000096</v>
      </c>
    </row>
    <row r="205" spans="2:31">
      <c r="B205" s="1" t="s">
        <v>159</v>
      </c>
      <c r="F205" s="2">
        <v>437.69</v>
      </c>
      <c r="G205" s="2">
        <v>269.72300000000001</v>
      </c>
      <c r="H205" s="2">
        <v>1.8959999999999999</v>
      </c>
      <c r="I205" s="2">
        <v>4.5860000000000003</v>
      </c>
      <c r="J205" s="2">
        <v>3.032</v>
      </c>
      <c r="K205" s="2">
        <v>3.3069999999999999</v>
      </c>
      <c r="L205" s="1">
        <f t="shared" ref="L205:U205" si="208">K205+L90</f>
        <v>6.7342348865657469</v>
      </c>
      <c r="M205" s="1">
        <f t="shared" si="208"/>
        <v>12.812325583792806</v>
      </c>
      <c r="N205" s="1">
        <f t="shared" si="208"/>
        <v>20.146896229000408</v>
      </c>
      <c r="O205" s="1">
        <f t="shared" si="208"/>
        <v>28.673558786916299</v>
      </c>
      <c r="P205" s="1">
        <f t="shared" si="208"/>
        <v>38.902196569999461</v>
      </c>
      <c r="Q205" s="1">
        <f t="shared" si="208"/>
        <v>51.679491768628637</v>
      </c>
      <c r="R205" s="1">
        <f t="shared" si="208"/>
        <v>66.89031274988632</v>
      </c>
      <c r="S205" s="1">
        <f t="shared" si="208"/>
        <v>84.263484883051404</v>
      </c>
      <c r="T205" s="1">
        <f t="shared" si="208"/>
        <v>103.70673499517117</v>
      </c>
      <c r="U205" s="1">
        <f t="shared" si="208"/>
        <v>125.68516866409844</v>
      </c>
      <c r="X205" s="2"/>
      <c r="Y205" s="2">
        <v>1.8959999999999999</v>
      </c>
      <c r="Z205" s="2">
        <v>35.241</v>
      </c>
      <c r="AA205" s="2">
        <v>4.5860000000000003</v>
      </c>
      <c r="AB205" s="2">
        <v>5.7160000000000002</v>
      </c>
      <c r="AC205" s="2">
        <v>3.032</v>
      </c>
      <c r="AD205" s="2">
        <v>3.1269999999999998</v>
      </c>
      <c r="AE205" s="2">
        <v>3.3069999999999999</v>
      </c>
    </row>
    <row r="207" spans="2:31" s="6" customFormat="1">
      <c r="B207" s="6" t="s">
        <v>160</v>
      </c>
      <c r="F207" s="6">
        <f t="shared" ref="F207:U207" si="209">F197+F205</f>
        <v>1156.9179999999999</v>
      </c>
      <c r="G207" s="6">
        <f t="shared" si="209"/>
        <v>1071.74</v>
      </c>
      <c r="H207" s="6">
        <f t="shared" si="209"/>
        <v>1090.981</v>
      </c>
      <c r="I207" s="6">
        <f t="shared" si="209"/>
        <v>8629.5579999999991</v>
      </c>
      <c r="J207" s="6">
        <f t="shared" si="209"/>
        <v>10626.032999999998</v>
      </c>
      <c r="K207" s="6">
        <f t="shared" si="209"/>
        <v>10237.258</v>
      </c>
      <c r="L207" s="6">
        <f t="shared" si="209"/>
        <v>14002.247064352321</v>
      </c>
      <c r="M207" s="6">
        <f t="shared" si="209"/>
        <v>19687.575627199371</v>
      </c>
      <c r="N207" s="6">
        <f t="shared" si="209"/>
        <v>25892.862349144161</v>
      </c>
      <c r="O207" s="6">
        <f t="shared" si="209"/>
        <v>33016.074308229443</v>
      </c>
      <c r="P207" s="6">
        <f t="shared" si="209"/>
        <v>41652.870942474976</v>
      </c>
      <c r="Q207" s="6">
        <f t="shared" si="209"/>
        <v>52584.268429061594</v>
      </c>
      <c r="R207" s="6">
        <f t="shared" si="209"/>
        <v>65395.012910704696</v>
      </c>
      <c r="S207" s="6">
        <f t="shared" si="209"/>
        <v>79818.708170429774</v>
      </c>
      <c r="T207" s="6">
        <f t="shared" si="209"/>
        <v>95842.980183402295</v>
      </c>
      <c r="U207" s="6">
        <f t="shared" si="209"/>
        <v>114022.49366287208</v>
      </c>
      <c r="X207" s="6">
        <f t="shared" ref="X207:AE207" si="210">X197+X205</f>
        <v>0</v>
      </c>
      <c r="Y207" s="6">
        <f t="shared" si="210"/>
        <v>1090.981</v>
      </c>
      <c r="Z207" s="6">
        <f t="shared" si="210"/>
        <v>1191.9259999999999</v>
      </c>
      <c r="AA207" s="6">
        <f t="shared" si="210"/>
        <v>8629.5579999999991</v>
      </c>
      <c r="AB207" s="6">
        <f t="shared" si="210"/>
        <v>9196.6759999999995</v>
      </c>
      <c r="AC207" s="6">
        <f t="shared" si="210"/>
        <v>10626.032999999998</v>
      </c>
      <c r="AD207" s="6">
        <f t="shared" si="210"/>
        <v>8924.7189999999991</v>
      </c>
      <c r="AE207" s="6">
        <f t="shared" si="210"/>
        <v>10237.258</v>
      </c>
    </row>
    <row r="208" spans="2:31" s="29" customFormat="1">
      <c r="C208" s="29" t="s">
        <v>161</v>
      </c>
      <c r="F208" s="29">
        <f t="shared" ref="F208:U208" si="211">F175-F195-F207</f>
        <v>0</v>
      </c>
      <c r="G208" s="29">
        <f t="shared" si="211"/>
        <v>0</v>
      </c>
      <c r="H208" s="29">
        <f t="shared" si="211"/>
        <v>0</v>
      </c>
      <c r="I208" s="29">
        <f t="shared" si="211"/>
        <v>0</v>
      </c>
      <c r="J208" s="29">
        <f t="shared" si="211"/>
        <v>0</v>
      </c>
      <c r="K208" s="29">
        <f t="shared" si="211"/>
        <v>0</v>
      </c>
      <c r="L208" s="29">
        <f t="shared" si="211"/>
        <v>1780.5673169119782</v>
      </c>
      <c r="M208" s="29">
        <f t="shared" si="211"/>
        <v>1780.5673169119764</v>
      </c>
      <c r="N208" s="29">
        <f t="shared" si="211"/>
        <v>1780.5673169119691</v>
      </c>
      <c r="O208" s="29">
        <f t="shared" si="211"/>
        <v>1780.5673169119618</v>
      </c>
      <c r="P208" s="29">
        <f t="shared" si="211"/>
        <v>1780.5673169119618</v>
      </c>
      <c r="Q208" s="29">
        <f t="shared" si="211"/>
        <v>1780.5673169119691</v>
      </c>
      <c r="R208" s="29">
        <f t="shared" si="211"/>
        <v>1780.56731691194</v>
      </c>
      <c r="S208" s="29">
        <f t="shared" si="211"/>
        <v>1780.5673169119254</v>
      </c>
      <c r="T208" s="29">
        <f t="shared" si="211"/>
        <v>1780.5673169119109</v>
      </c>
      <c r="U208" s="29">
        <f t="shared" si="211"/>
        <v>1780.5673169118963</v>
      </c>
      <c r="X208" s="29">
        <f t="shared" ref="X208:AE208" si="212">X175-X195-X207</f>
        <v>0</v>
      </c>
      <c r="Y208" s="29">
        <f t="shared" si="212"/>
        <v>0</v>
      </c>
      <c r="Z208" s="29">
        <f t="shared" si="212"/>
        <v>0</v>
      </c>
      <c r="AA208" s="29">
        <f t="shared" si="212"/>
        <v>0</v>
      </c>
      <c r="AB208" s="29">
        <f t="shared" si="212"/>
        <v>0</v>
      </c>
      <c r="AC208" s="29">
        <f t="shared" si="212"/>
        <v>0</v>
      </c>
      <c r="AD208" s="29">
        <f t="shared" si="212"/>
        <v>0</v>
      </c>
      <c r="AE208" s="29">
        <f t="shared" si="212"/>
        <v>0</v>
      </c>
    </row>
    <row r="210" spans="2:31" s="6" customFormat="1">
      <c r="B210" s="6" t="s">
        <v>162</v>
      </c>
    </row>
    <row r="212" spans="2:31" s="6" customFormat="1">
      <c r="B212" s="6" t="s">
        <v>163</v>
      </c>
      <c r="F212" s="6">
        <f t="shared" ref="F212:J212" si="213">SUM(F213:F219)</f>
        <v>529.7800000000002</v>
      </c>
      <c r="G212" s="6">
        <f t="shared" si="213"/>
        <v>227.322</v>
      </c>
      <c r="H212" s="6">
        <f t="shared" si="213"/>
        <v>-1077.075</v>
      </c>
      <c r="I212" s="6">
        <f t="shared" si="213"/>
        <v>-948.43699999999978</v>
      </c>
      <c r="J212" s="6">
        <f t="shared" si="213"/>
        <v>-1322.769</v>
      </c>
      <c r="K212" s="6">
        <f>SUM(K213:K219)</f>
        <v>-816.51599999999985</v>
      </c>
      <c r="L212" s="6">
        <f t="shared" ref="L212:U212" si="214">SUM(L213:L219)</f>
        <v>-2098.4508457093007</v>
      </c>
      <c r="M212" s="6">
        <f t="shared" si="214"/>
        <v>-2823.9612839516512</v>
      </c>
      <c r="N212" s="6">
        <f t="shared" si="214"/>
        <v>-3366.6094286591178</v>
      </c>
      <c r="O212" s="6">
        <f t="shared" si="214"/>
        <v>-3885.8756420157456</v>
      </c>
      <c r="P212" s="6">
        <f t="shared" si="214"/>
        <v>-4503.9926338751202</v>
      </c>
      <c r="Q212" s="6">
        <f t="shared" si="214"/>
        <v>-5221.0673873022051</v>
      </c>
      <c r="R212" s="6">
        <f t="shared" si="214"/>
        <v>-5927.3690430644519</v>
      </c>
      <c r="S212" s="6">
        <f t="shared" si="214"/>
        <v>-6587.8614984191236</v>
      </c>
      <c r="T212" s="6">
        <f t="shared" si="214"/>
        <v>-7301.9992363171796</v>
      </c>
      <c r="U212" s="6">
        <f t="shared" si="214"/>
        <v>-8072.4215589810256</v>
      </c>
      <c r="X212" s="6">
        <f t="shared" ref="X212:AE212" si="215">SUM(X213:X219)</f>
        <v>0</v>
      </c>
      <c r="Y212" s="6">
        <f t="shared" si="215"/>
        <v>-318.7000000000001</v>
      </c>
      <c r="Z212" s="6">
        <f t="shared" si="215"/>
        <v>-320.1629999999999</v>
      </c>
      <c r="AA212" s="6">
        <f t="shared" si="215"/>
        <v>-557.03499999999963</v>
      </c>
      <c r="AB212" s="6">
        <f t="shared" si="215"/>
        <v>-487.54600000000022</v>
      </c>
      <c r="AC212" s="6">
        <f t="shared" si="215"/>
        <v>-551.93700000000001</v>
      </c>
      <c r="AD212" s="6">
        <f t="shared" si="215"/>
        <v>-570.69000000000005</v>
      </c>
      <c r="AE212" s="6">
        <f t="shared" si="215"/>
        <v>-697.15199999999993</v>
      </c>
    </row>
    <row r="213" spans="2:31">
      <c r="C213" s="1" t="s">
        <v>164</v>
      </c>
      <c r="F213" s="1">
        <f t="shared" ref="F213:K213" si="216">F164</f>
        <v>175.47300000000001</v>
      </c>
      <c r="G213" s="1">
        <f t="shared" si="216"/>
        <v>246.678</v>
      </c>
      <c r="H213" s="1">
        <f t="shared" si="216"/>
        <v>497.61599999999999</v>
      </c>
      <c r="I213" s="1">
        <f t="shared" si="216"/>
        <v>845.11800000000005</v>
      </c>
      <c r="J213" s="1">
        <f t="shared" si="216"/>
        <v>1615.5509999999999</v>
      </c>
      <c r="K213" s="1">
        <f t="shared" si="216"/>
        <v>2205.415</v>
      </c>
      <c r="L213" s="1">
        <f t="shared" ref="L213:U213" si="217">L221/L$2*L$5</f>
        <v>4957.5622766183578</v>
      </c>
      <c r="M213" s="1">
        <f t="shared" si="217"/>
        <v>6608.4055259311208</v>
      </c>
      <c r="N213" s="1">
        <f t="shared" si="217"/>
        <v>7843.599399441081</v>
      </c>
      <c r="O213" s="1">
        <f t="shared" si="217"/>
        <v>9032.514542511999</v>
      </c>
      <c r="P213" s="1">
        <f t="shared" si="217"/>
        <v>10417.08026993266</v>
      </c>
      <c r="Q213" s="1">
        <f t="shared" si="217"/>
        <v>11997.508328130289</v>
      </c>
      <c r="R213" s="1">
        <f t="shared" si="217"/>
        <v>13502.894866550403</v>
      </c>
      <c r="S213" s="1">
        <f t="shared" si="217"/>
        <v>14917.613461186062</v>
      </c>
      <c r="T213" s="1">
        <f t="shared" si="217"/>
        <v>16438.509579521527</v>
      </c>
      <c r="U213" s="1">
        <f t="shared" si="217"/>
        <v>18070.807065313122</v>
      </c>
      <c r="X213" s="1">
        <f t="shared" ref="X213:AE213" si="218">X164</f>
        <v>0</v>
      </c>
      <c r="Y213" s="1">
        <f t="shared" si="218"/>
        <v>497.61599999999999</v>
      </c>
      <c r="Z213" s="1">
        <f t="shared" si="218"/>
        <v>568.53800000000001</v>
      </c>
      <c r="AA213" s="1">
        <f t="shared" si="218"/>
        <v>845.11800000000005</v>
      </c>
      <c r="AB213" s="1">
        <f t="shared" si="218"/>
        <v>1353.2529999999999</v>
      </c>
      <c r="AC213" s="1">
        <f t="shared" si="218"/>
        <v>1615.5509999999999</v>
      </c>
      <c r="AD213" s="1">
        <f t="shared" si="218"/>
        <v>1603.4110000000001</v>
      </c>
      <c r="AE213" s="1">
        <f t="shared" si="218"/>
        <v>2205.415</v>
      </c>
    </row>
    <row r="214" spans="2:31">
      <c r="C214" s="1" t="s">
        <v>130</v>
      </c>
      <c r="F214" s="1">
        <f t="shared" ref="F214:K214" si="219">F163</f>
        <v>41.064999999999998</v>
      </c>
      <c r="G214" s="1">
        <f t="shared" si="219"/>
        <v>49.707000000000001</v>
      </c>
      <c r="H214" s="1">
        <f t="shared" si="219"/>
        <v>95.117999999999995</v>
      </c>
      <c r="I214" s="1">
        <f t="shared" si="219"/>
        <v>457.12400000000002</v>
      </c>
      <c r="J214" s="1">
        <f t="shared" si="219"/>
        <v>1199.6659999999999</v>
      </c>
      <c r="K214" s="1">
        <f t="shared" si="219"/>
        <v>1154.2149999999999</v>
      </c>
      <c r="L214" s="1">
        <f t="shared" ref="L214:U214" si="220">L225/L$2*L$5</f>
        <v>2594.5650787298796</v>
      </c>
      <c r="M214" s="1">
        <f t="shared" si="220"/>
        <v>3458.5421719325336</v>
      </c>
      <c r="N214" s="1">
        <f t="shared" si="220"/>
        <v>4104.9870799037308</v>
      </c>
      <c r="O214" s="1">
        <f t="shared" si="220"/>
        <v>4727.2117822203472</v>
      </c>
      <c r="P214" s="1">
        <f t="shared" si="220"/>
        <v>5451.8311990080438</v>
      </c>
      <c r="Q214" s="1">
        <f t="shared" si="220"/>
        <v>6278.9561488213785</v>
      </c>
      <c r="R214" s="1">
        <f t="shared" si="220"/>
        <v>7066.8077429397517</v>
      </c>
      <c r="S214" s="1">
        <f t="shared" si="220"/>
        <v>7807.2078139954929</v>
      </c>
      <c r="T214" s="1">
        <f t="shared" si="220"/>
        <v>8603.1764245402519</v>
      </c>
      <c r="U214" s="1">
        <f t="shared" si="220"/>
        <v>9457.4474994005141</v>
      </c>
      <c r="X214" s="1">
        <f t="shared" ref="X214:AE214" si="221">X163</f>
        <v>0</v>
      </c>
      <c r="Y214" s="1">
        <f t="shared" si="221"/>
        <v>95.117999999999995</v>
      </c>
      <c r="Z214" s="1">
        <f t="shared" si="221"/>
        <v>325.43900000000002</v>
      </c>
      <c r="AA214" s="1">
        <f t="shared" si="221"/>
        <v>457.12400000000002</v>
      </c>
      <c r="AB214" s="1">
        <f t="shared" si="221"/>
        <v>458.13799999999998</v>
      </c>
      <c r="AC214" s="1">
        <f t="shared" si="221"/>
        <v>1199.6659999999999</v>
      </c>
      <c r="AD214" s="1">
        <f t="shared" si="221"/>
        <v>907.90800000000002</v>
      </c>
      <c r="AE214" s="1">
        <f t="shared" si="221"/>
        <v>1154.2149999999999</v>
      </c>
    </row>
    <row r="215" spans="2:31">
      <c r="C215" s="1" t="s">
        <v>108</v>
      </c>
      <c r="F215" s="1">
        <f t="shared" ref="F215:U215" si="222">F121</f>
        <v>52.719000000000001</v>
      </c>
      <c r="G215" s="1">
        <f t="shared" si="222"/>
        <v>68.397999999999996</v>
      </c>
      <c r="H215" s="1">
        <f t="shared" si="222"/>
        <v>120.848</v>
      </c>
      <c r="I215" s="1">
        <f t="shared" si="222"/>
        <v>232.749</v>
      </c>
      <c r="J215" s="1">
        <f t="shared" si="222"/>
        <v>269.26900000000001</v>
      </c>
      <c r="K215" s="1">
        <f t="shared" si="222"/>
        <v>352.29</v>
      </c>
      <c r="L215" s="1">
        <f t="shared" si="222"/>
        <v>460.85394453004625</v>
      </c>
      <c r="M215" s="1">
        <f t="shared" si="222"/>
        <v>569.41788906009253</v>
      </c>
      <c r="N215" s="1">
        <f t="shared" si="222"/>
        <v>650.84084745762721</v>
      </c>
      <c r="O215" s="1">
        <f t="shared" si="222"/>
        <v>732.26380585516188</v>
      </c>
      <c r="P215" s="1">
        <f t="shared" si="222"/>
        <v>813.68676425269655</v>
      </c>
      <c r="Q215" s="1">
        <f t="shared" si="222"/>
        <v>895.10972265023122</v>
      </c>
      <c r="R215" s="1">
        <f t="shared" si="222"/>
        <v>949.39169491525433</v>
      </c>
      <c r="S215" s="1">
        <f t="shared" si="222"/>
        <v>1003.6736671802774</v>
      </c>
      <c r="T215" s="1">
        <f t="shared" si="222"/>
        <v>1057.9556394453004</v>
      </c>
      <c r="U215" s="1">
        <f t="shared" si="222"/>
        <v>1112.2376117103236</v>
      </c>
      <c r="X215" s="1">
        <f t="shared" ref="X215:AE215" si="223">X121</f>
        <v>0</v>
      </c>
      <c r="Y215" s="1">
        <f t="shared" si="223"/>
        <v>120.848</v>
      </c>
      <c r="Z215" s="1">
        <f t="shared" si="223"/>
        <v>163.96199999999999</v>
      </c>
      <c r="AA215" s="1">
        <f t="shared" si="223"/>
        <v>232.749</v>
      </c>
      <c r="AB215" s="1">
        <f t="shared" si="223"/>
        <v>229.72900000000001</v>
      </c>
      <c r="AC215" s="1">
        <f t="shared" si="223"/>
        <v>269.26900000000001</v>
      </c>
      <c r="AD215" s="1">
        <f t="shared" si="223"/>
        <v>301.26600000000002</v>
      </c>
      <c r="AE215" s="1">
        <f t="shared" si="223"/>
        <v>352.29</v>
      </c>
    </row>
    <row r="216" spans="2:31">
      <c r="C216" s="1" t="s">
        <v>165</v>
      </c>
      <c r="F216" s="1">
        <f t="shared" ref="F216:K217" si="224">-F179</f>
        <v>-100.27200000000001</v>
      </c>
      <c r="G216" s="1">
        <f t="shared" si="224"/>
        <v>-119.768</v>
      </c>
      <c r="H216" s="1">
        <f t="shared" si="224"/>
        <v>-168.71899999999999</v>
      </c>
      <c r="I216" s="1">
        <f t="shared" si="224"/>
        <v>-729.32799999999997</v>
      </c>
      <c r="J216" s="1">
        <f t="shared" si="224"/>
        <v>-1406.4079999999999</v>
      </c>
      <c r="K216" s="1">
        <f t="shared" si="224"/>
        <v>-1582.5709999999999</v>
      </c>
      <c r="L216" s="1">
        <f t="shared" ref="L216:U218" si="225">L226/L$2*L$5</f>
        <v>-3557.4684536335299</v>
      </c>
      <c r="M216" s="1">
        <f t="shared" si="225"/>
        <v>-4742.0875171241423</v>
      </c>
      <c r="N216" s="1">
        <f t="shared" si="225"/>
        <v>-5628.4431479666509</v>
      </c>
      <c r="O216" s="1">
        <f t="shared" si="225"/>
        <v>-6481.5898921780054</v>
      </c>
      <c r="P216" s="1">
        <f t="shared" si="225"/>
        <v>-7475.1324081261801</v>
      </c>
      <c r="Q216" s="1">
        <f t="shared" si="225"/>
        <v>-8609.2226417057464</v>
      </c>
      <c r="R216" s="1">
        <f t="shared" si="225"/>
        <v>-9689.4642649349607</v>
      </c>
      <c r="S216" s="1">
        <f t="shared" si="225"/>
        <v>-10704.64400254949</v>
      </c>
      <c r="T216" s="1">
        <f t="shared" si="225"/>
        <v>-11796.015055566848</v>
      </c>
      <c r="U216" s="1">
        <f t="shared" si="225"/>
        <v>-12967.325971828275</v>
      </c>
      <c r="X216" s="1">
        <f t="shared" ref="X216:AE216" si="226">-X179-X180</f>
        <v>0</v>
      </c>
      <c r="Y216" s="1">
        <f t="shared" si="226"/>
        <v>-679.45399999999995</v>
      </c>
      <c r="Z216" s="1">
        <f t="shared" si="226"/>
        <v>-1001.227</v>
      </c>
      <c r="AA216" s="1">
        <f t="shared" si="226"/>
        <v>-1635.7919999999999</v>
      </c>
      <c r="AB216" s="1">
        <f t="shared" si="226"/>
        <v>-2118.3110000000001</v>
      </c>
      <c r="AC216" s="1">
        <f t="shared" si="226"/>
        <v>-2983.3969999999999</v>
      </c>
      <c r="AD216" s="1">
        <f t="shared" si="226"/>
        <v>-2952.538</v>
      </c>
      <c r="AE216" s="1">
        <f t="shared" si="226"/>
        <v>-3831.337</v>
      </c>
    </row>
    <row r="217" spans="2:31">
      <c r="C217" s="1" t="s">
        <v>141</v>
      </c>
      <c r="F217" s="1">
        <f t="shared" si="224"/>
        <v>-284.74299999999999</v>
      </c>
      <c r="G217" s="1">
        <f t="shared" si="224"/>
        <v>-363.97899999999998</v>
      </c>
      <c r="H217" s="1">
        <f t="shared" si="224"/>
        <v>-510.73500000000001</v>
      </c>
      <c r="I217" s="1">
        <f t="shared" si="224"/>
        <v>-906.46400000000006</v>
      </c>
      <c r="J217" s="1">
        <f t="shared" si="224"/>
        <v>-1576.989</v>
      </c>
      <c r="K217" s="1">
        <f t="shared" si="224"/>
        <v>-2248.7660000000001</v>
      </c>
      <c r="L217" s="1">
        <f t="shared" si="225"/>
        <v>-5055.011184081889</v>
      </c>
      <c r="M217" s="1">
        <f t="shared" si="225"/>
        <v>-6738.3044283846912</v>
      </c>
      <c r="N217" s="1">
        <f t="shared" si="225"/>
        <v>-7997.7780359177395</v>
      </c>
      <c r="O217" s="1">
        <f t="shared" si="225"/>
        <v>-9210.0632296898948</v>
      </c>
      <c r="P217" s="1">
        <f t="shared" si="225"/>
        <v>-10621.844836593289</v>
      </c>
      <c r="Q217" s="1">
        <f t="shared" si="225"/>
        <v>-12233.338765273764</v>
      </c>
      <c r="R217" s="1">
        <f t="shared" si="225"/>
        <v>-13768.316111694663</v>
      </c>
      <c r="S217" s="1">
        <f t="shared" si="225"/>
        <v>-15210.843289202956</v>
      </c>
      <c r="T217" s="1">
        <f t="shared" si="225"/>
        <v>-16761.635081425629</v>
      </c>
      <c r="U217" s="1">
        <f t="shared" si="225"/>
        <v>-18426.018015219779</v>
      </c>
    </row>
    <row r="218" spans="2:31">
      <c r="C218" s="1" t="s">
        <v>147</v>
      </c>
      <c r="F218" s="1">
        <f t="shared" ref="F218:K218" si="227">-F186</f>
        <v>-245.20400000000001</v>
      </c>
      <c r="G218" s="1">
        <f t="shared" si="227"/>
        <v>-273.24900000000002</v>
      </c>
      <c r="H218" s="1">
        <f t="shared" si="227"/>
        <v>-308.57900000000001</v>
      </c>
      <c r="I218" s="1">
        <f t="shared" si="227"/>
        <v>-378.03899999999999</v>
      </c>
      <c r="J218" s="1">
        <f t="shared" si="227"/>
        <v>-502.78399999999999</v>
      </c>
      <c r="K218" s="1">
        <f t="shared" si="227"/>
        <v>-642.55999999999995</v>
      </c>
      <c r="L218" s="1">
        <f>L228/L$2*L$5</f>
        <v>-1444.4135078721656</v>
      </c>
      <c r="M218" s="1">
        <f t="shared" si="225"/>
        <v>-1925.3959253665641</v>
      </c>
      <c r="N218" s="1">
        <f t="shared" si="225"/>
        <v>-2285.2765715771684</v>
      </c>
      <c r="O218" s="1">
        <f t="shared" si="225"/>
        <v>-2631.6736507353539</v>
      </c>
      <c r="P218" s="1">
        <f t="shared" si="225"/>
        <v>-3035.0746223490501</v>
      </c>
      <c r="Q218" s="1">
        <f t="shared" si="225"/>
        <v>-3495.541179924594</v>
      </c>
      <c r="R218" s="1">
        <f t="shared" si="225"/>
        <v>-3934.1439708402395</v>
      </c>
      <c r="S218" s="1">
        <f t="shared" si="225"/>
        <v>-4346.3301490285121</v>
      </c>
      <c r="T218" s="1">
        <f t="shared" si="225"/>
        <v>-4789.4517428317813</v>
      </c>
      <c r="U218" s="1">
        <f t="shared" si="225"/>
        <v>-5265.0307483569304</v>
      </c>
      <c r="X218" s="1">
        <f t="shared" ref="X218:AE218" si="228">-X186</f>
        <v>0</v>
      </c>
      <c r="Y218" s="1">
        <f t="shared" si="228"/>
        <v>-308.57900000000001</v>
      </c>
      <c r="Z218" s="1">
        <f t="shared" si="228"/>
        <v>-372.42599999999999</v>
      </c>
      <c r="AA218" s="1">
        <f t="shared" si="228"/>
        <v>-378.03899999999999</v>
      </c>
      <c r="AB218" s="1">
        <f t="shared" si="228"/>
        <v>-436.80900000000003</v>
      </c>
      <c r="AC218" s="1">
        <f t="shared" si="228"/>
        <v>-502.78399999999999</v>
      </c>
      <c r="AD218" s="1">
        <f t="shared" si="228"/>
        <v>-538.64300000000003</v>
      </c>
      <c r="AE218" s="1">
        <f t="shared" si="228"/>
        <v>-642.55999999999995</v>
      </c>
    </row>
    <row r="219" spans="2:31">
      <c r="C219" s="1" t="s">
        <v>166</v>
      </c>
      <c r="F219" s="1">
        <f t="shared" ref="F219:U219" si="229">F115+F119+F168-F181-F183-F190-F193</f>
        <v>890.74200000000019</v>
      </c>
      <c r="G219" s="1">
        <f t="shared" si="229"/>
        <v>619.53499999999997</v>
      </c>
      <c r="H219" s="1">
        <f t="shared" si="229"/>
        <v>-802.6239999999998</v>
      </c>
      <c r="I219" s="1">
        <f t="shared" si="229"/>
        <v>-469.59699999999998</v>
      </c>
      <c r="J219" s="1">
        <f t="shared" si="229"/>
        <v>-921.07399999999996</v>
      </c>
      <c r="K219" s="1">
        <f t="shared" si="229"/>
        <v>-54.538999999999945</v>
      </c>
      <c r="L219" s="1">
        <f t="shared" si="229"/>
        <v>-54.538999999999945</v>
      </c>
      <c r="M219" s="1">
        <f t="shared" si="229"/>
        <v>-54.538999999999945</v>
      </c>
      <c r="N219" s="1">
        <f t="shared" si="229"/>
        <v>-54.538999999999945</v>
      </c>
      <c r="O219" s="1">
        <f t="shared" si="229"/>
        <v>-54.538999999999945</v>
      </c>
      <c r="P219" s="1">
        <f t="shared" si="229"/>
        <v>-54.538999999999945</v>
      </c>
      <c r="Q219" s="1">
        <f t="shared" si="229"/>
        <v>-54.538999999999945</v>
      </c>
      <c r="R219" s="1">
        <f t="shared" si="229"/>
        <v>-54.538999999999945</v>
      </c>
      <c r="S219" s="1">
        <f t="shared" si="229"/>
        <v>-54.538999999999945</v>
      </c>
      <c r="T219" s="1">
        <f t="shared" si="229"/>
        <v>-54.538999999999945</v>
      </c>
      <c r="U219" s="1">
        <f t="shared" si="229"/>
        <v>-54.538999999999945</v>
      </c>
      <c r="X219" s="1">
        <f t="shared" ref="X219:AE219" si="230">X119-X183-X190-X193</f>
        <v>0</v>
      </c>
      <c r="Y219" s="1">
        <f t="shared" si="230"/>
        <v>-44.249000000000002</v>
      </c>
      <c r="Z219" s="1">
        <f t="shared" si="230"/>
        <v>-4.4489999999999945</v>
      </c>
      <c r="AA219" s="1">
        <f t="shared" si="230"/>
        <v>-78.194999999999979</v>
      </c>
      <c r="AB219" s="1">
        <f t="shared" si="230"/>
        <v>26.454000000000001</v>
      </c>
      <c r="AC219" s="1">
        <f t="shared" si="230"/>
        <v>-150.24199999999996</v>
      </c>
      <c r="AD219" s="1">
        <f t="shared" si="230"/>
        <v>107.90600000000001</v>
      </c>
      <c r="AE219" s="1">
        <f t="shared" si="230"/>
        <v>64.824999999999974</v>
      </c>
    </row>
    <row r="221" spans="2:31" s="26" customFormat="1">
      <c r="C221" s="26" t="s">
        <v>167</v>
      </c>
      <c r="F221" s="26">
        <f t="shared" ref="F221:K221" si="231">F213/F$5*F$2</f>
        <v>11.125791732112354</v>
      </c>
      <c r="G221" s="26">
        <f t="shared" si="231"/>
        <v>11.563496277898473</v>
      </c>
      <c r="H221" s="26">
        <f t="shared" si="231"/>
        <v>17.075015253117133</v>
      </c>
      <c r="I221" s="26">
        <f t="shared" si="231"/>
        <v>18.178222180315988</v>
      </c>
      <c r="J221" s="26">
        <f t="shared" si="231"/>
        <v>22.205179005770191</v>
      </c>
      <c r="K221" s="26">
        <f t="shared" si="231"/>
        <v>28.209082850488329</v>
      </c>
      <c r="L221" s="32">
        <f>K221</f>
        <v>28.209082850488329</v>
      </c>
      <c r="M221" s="32">
        <f t="shared" ref="M221:U221" si="232">L221</f>
        <v>28.209082850488329</v>
      </c>
      <c r="N221" s="32">
        <f t="shared" si="232"/>
        <v>28.209082850488329</v>
      </c>
      <c r="O221" s="32">
        <f t="shared" si="232"/>
        <v>28.209082850488329</v>
      </c>
      <c r="P221" s="32">
        <f t="shared" si="232"/>
        <v>28.209082850488329</v>
      </c>
      <c r="Q221" s="32">
        <f t="shared" si="232"/>
        <v>28.209082850488329</v>
      </c>
      <c r="R221" s="32">
        <f t="shared" si="232"/>
        <v>28.209082850488329</v>
      </c>
      <c r="S221" s="32">
        <f t="shared" si="232"/>
        <v>28.209082850488329</v>
      </c>
      <c r="T221" s="32">
        <f t="shared" si="232"/>
        <v>28.209082850488329</v>
      </c>
      <c r="U221" s="32">
        <f t="shared" si="232"/>
        <v>28.209082850488329</v>
      </c>
    </row>
    <row r="222" spans="2:31" s="26" customFormat="1">
      <c r="D222" s="26" t="s">
        <v>168</v>
      </c>
      <c r="F222" s="26">
        <f t="shared" ref="F222:J224" si="233">F165/F$5*F$2</f>
        <v>1.8759512858274958</v>
      </c>
      <c r="G222" s="26">
        <f t="shared" si="233"/>
        <v>2.9834324792262392</v>
      </c>
      <c r="H222" s="26">
        <f t="shared" si="233"/>
        <v>5.9345779939589196</v>
      </c>
      <c r="I222" s="26">
        <f t="shared" si="233"/>
        <v>3.2284531884425225</v>
      </c>
      <c r="J222" s="26">
        <f t="shared" si="233"/>
        <v>2.7980116352771551</v>
      </c>
    </row>
    <row r="223" spans="2:31" s="26" customFormat="1">
      <c r="D223" s="26" t="s">
        <v>169</v>
      </c>
      <c r="F223" s="26">
        <f t="shared" si="233"/>
        <v>1.8789947056307783</v>
      </c>
      <c r="G223" s="26">
        <f t="shared" si="233"/>
        <v>0.77398425090353284</v>
      </c>
      <c r="H223" s="26">
        <f t="shared" si="233"/>
        <v>1.6680202535072766</v>
      </c>
      <c r="I223" s="26">
        <f t="shared" si="233"/>
        <v>5.7439463495412255</v>
      </c>
      <c r="J223" s="26">
        <f t="shared" si="233"/>
        <v>7.6177784492362344</v>
      </c>
    </row>
    <row r="224" spans="2:31" s="26" customFormat="1">
      <c r="D224" s="26" t="s">
        <v>170</v>
      </c>
      <c r="F224" s="26">
        <f t="shared" si="233"/>
        <v>7.3708457406540786</v>
      </c>
      <c r="G224" s="26">
        <f t="shared" si="233"/>
        <v>7.8060795477686993</v>
      </c>
      <c r="H224" s="26">
        <f t="shared" si="233"/>
        <v>9.4724170056509376</v>
      </c>
      <c r="I224" s="26">
        <f t="shared" si="233"/>
        <v>9.2058226423322402</v>
      </c>
      <c r="J224" s="26">
        <f t="shared" si="233"/>
        <v>11.789388921256801</v>
      </c>
    </row>
    <row r="225" spans="2:31" s="26" customFormat="1">
      <c r="C225" s="26" t="s">
        <v>171</v>
      </c>
      <c r="F225" s="26">
        <f t="shared" ref="F225:K225" si="234">F214/F$5*F$2</f>
        <v>2.6037090462874275</v>
      </c>
      <c r="G225" s="26">
        <f t="shared" si="234"/>
        <v>2.3301093307287202</v>
      </c>
      <c r="H225" s="26">
        <f t="shared" si="234"/>
        <v>3.2638446128058494</v>
      </c>
      <c r="I225" s="26">
        <f t="shared" si="234"/>
        <v>9.8325933608735898</v>
      </c>
      <c r="J225" s="26">
        <f t="shared" si="234"/>
        <v>16.488986282163982</v>
      </c>
      <c r="K225" s="26">
        <f t="shared" si="234"/>
        <v>14.763364973157607</v>
      </c>
      <c r="L225" s="32">
        <f>K225</f>
        <v>14.763364973157607</v>
      </c>
      <c r="M225" s="32">
        <f t="shared" ref="M225:U228" si="235">L225</f>
        <v>14.763364973157607</v>
      </c>
      <c r="N225" s="32">
        <f t="shared" si="235"/>
        <v>14.763364973157607</v>
      </c>
      <c r="O225" s="32">
        <f t="shared" si="235"/>
        <v>14.763364973157607</v>
      </c>
      <c r="P225" s="32">
        <f t="shared" si="235"/>
        <v>14.763364973157607</v>
      </c>
      <c r="Q225" s="32">
        <f t="shared" si="235"/>
        <v>14.763364973157607</v>
      </c>
      <c r="R225" s="32">
        <f t="shared" si="235"/>
        <v>14.763364973157607</v>
      </c>
      <c r="S225" s="32">
        <f t="shared" si="235"/>
        <v>14.763364973157607</v>
      </c>
      <c r="T225" s="32">
        <f t="shared" si="235"/>
        <v>14.763364973157607</v>
      </c>
      <c r="U225" s="32">
        <f t="shared" si="235"/>
        <v>14.763364973157607</v>
      </c>
    </row>
    <row r="226" spans="2:31" s="26" customFormat="1">
      <c r="C226" s="26" t="s">
        <v>172</v>
      </c>
      <c r="F226" s="26">
        <f t="shared" ref="F226:K228" si="236">F216/F$5*F$2</f>
        <v>-6.3577039690571766</v>
      </c>
      <c r="G226" s="26">
        <f t="shared" si="236"/>
        <v>-5.6143507820370848</v>
      </c>
      <c r="H226" s="26">
        <f t="shared" si="236"/>
        <v>-5.7893626782311465</v>
      </c>
      <c r="I226" s="26">
        <f t="shared" si="236"/>
        <v>-15.687615725053186</v>
      </c>
      <c r="J226" s="26">
        <f t="shared" si="236"/>
        <v>-19.330582194648908</v>
      </c>
      <c r="K226" s="26">
        <f t="shared" si="236"/>
        <v>-20.242392681549806</v>
      </c>
      <c r="L226" s="32">
        <f>K226</f>
        <v>-20.242392681549806</v>
      </c>
      <c r="M226" s="32">
        <f t="shared" si="235"/>
        <v>-20.242392681549806</v>
      </c>
      <c r="N226" s="32">
        <f t="shared" si="235"/>
        <v>-20.242392681549806</v>
      </c>
      <c r="O226" s="32">
        <f t="shared" si="235"/>
        <v>-20.242392681549806</v>
      </c>
      <c r="P226" s="32">
        <f t="shared" si="235"/>
        <v>-20.242392681549806</v>
      </c>
      <c r="Q226" s="32">
        <f t="shared" si="235"/>
        <v>-20.242392681549806</v>
      </c>
      <c r="R226" s="32">
        <f t="shared" si="235"/>
        <v>-20.242392681549806</v>
      </c>
      <c r="S226" s="32">
        <f t="shared" si="235"/>
        <v>-20.242392681549806</v>
      </c>
      <c r="T226" s="32">
        <f t="shared" si="235"/>
        <v>-20.242392681549806</v>
      </c>
      <c r="U226" s="32">
        <f t="shared" si="235"/>
        <v>-20.242392681549806</v>
      </c>
    </row>
    <row r="227" spans="2:31" s="26" customFormat="1">
      <c r="C227" s="26" t="s">
        <v>173</v>
      </c>
      <c r="F227" s="26">
        <f t="shared" si="236"/>
        <v>-18.05401010512653</v>
      </c>
      <c r="G227" s="26">
        <f t="shared" si="236"/>
        <v>-17.062201784241836</v>
      </c>
      <c r="H227" s="26">
        <f t="shared" si="236"/>
        <v>-17.525175869145649</v>
      </c>
      <c r="I227" s="26">
        <f t="shared" si="236"/>
        <v>-19.497755331750067</v>
      </c>
      <c r="J227" s="26">
        <f t="shared" si="236"/>
        <v>-21.675157909054267</v>
      </c>
      <c r="K227" s="26">
        <f t="shared" si="236"/>
        <v>-28.763578013825622</v>
      </c>
      <c r="L227" s="32">
        <f>K227</f>
        <v>-28.763578013825622</v>
      </c>
      <c r="M227" s="32">
        <f t="shared" si="235"/>
        <v>-28.763578013825622</v>
      </c>
      <c r="N227" s="32">
        <f t="shared" si="235"/>
        <v>-28.763578013825622</v>
      </c>
      <c r="O227" s="32">
        <f t="shared" si="235"/>
        <v>-28.763578013825622</v>
      </c>
      <c r="P227" s="32">
        <f t="shared" si="235"/>
        <v>-28.763578013825622</v>
      </c>
      <c r="Q227" s="32">
        <f t="shared" si="235"/>
        <v>-28.763578013825622</v>
      </c>
      <c r="R227" s="32">
        <f t="shared" si="235"/>
        <v>-28.763578013825622</v>
      </c>
      <c r="S227" s="32">
        <f t="shared" si="235"/>
        <v>-28.763578013825622</v>
      </c>
      <c r="T227" s="32">
        <f t="shared" si="235"/>
        <v>-28.763578013825622</v>
      </c>
      <c r="U227" s="32">
        <f t="shared" si="235"/>
        <v>-28.763578013825622</v>
      </c>
    </row>
    <row r="228" spans="2:31" s="26" customFormat="1">
      <c r="C228" s="26" t="s">
        <v>174</v>
      </c>
      <c r="F228" s="26">
        <f>F218/F$5*F$2</f>
        <v>-15.547056446751794</v>
      </c>
      <c r="G228" s="26">
        <f t="shared" si="236"/>
        <v>-12.809061993527918</v>
      </c>
      <c r="H228" s="26">
        <f t="shared" si="236"/>
        <v>-10.588468079385777</v>
      </c>
      <c r="I228" s="26">
        <f t="shared" si="236"/>
        <v>-8.1314999027644372</v>
      </c>
      <c r="J228" s="26">
        <f t="shared" si="236"/>
        <v>-6.910588846305167</v>
      </c>
      <c r="K228" s="26">
        <f t="shared" si="236"/>
        <v>-8.218874124103527</v>
      </c>
      <c r="L228" s="32">
        <f>K228</f>
        <v>-8.218874124103527</v>
      </c>
      <c r="M228" s="32">
        <f t="shared" si="235"/>
        <v>-8.218874124103527</v>
      </c>
      <c r="N228" s="32">
        <f t="shared" si="235"/>
        <v>-8.218874124103527</v>
      </c>
      <c r="O228" s="32">
        <f t="shared" si="235"/>
        <v>-8.218874124103527</v>
      </c>
      <c r="P228" s="32">
        <f t="shared" si="235"/>
        <v>-8.218874124103527</v>
      </c>
      <c r="Q228" s="32">
        <f t="shared" si="235"/>
        <v>-8.218874124103527</v>
      </c>
      <c r="R228" s="32">
        <f t="shared" si="235"/>
        <v>-8.218874124103527</v>
      </c>
      <c r="S228" s="32">
        <f t="shared" si="235"/>
        <v>-8.218874124103527</v>
      </c>
      <c r="T228" s="32">
        <f t="shared" si="235"/>
        <v>-8.218874124103527</v>
      </c>
      <c r="U228" s="32">
        <f t="shared" si="235"/>
        <v>-8.218874124103527</v>
      </c>
    </row>
    <row r="229" spans="2:31" s="33" customFormat="1">
      <c r="C229" s="33" t="s">
        <v>175</v>
      </c>
      <c r="F229" s="33">
        <f t="shared" ref="F229:U229" si="237">F212/F$5*F$2</f>
        <v>33.59047798714608</v>
      </c>
      <c r="G229" s="33">
        <f t="shared" si="237"/>
        <v>10.656147288710127</v>
      </c>
      <c r="H229" s="33">
        <f t="shared" si="237"/>
        <v>-36.958361575494237</v>
      </c>
      <c r="I229" s="33">
        <f t="shared" si="237"/>
        <v>-20.400581350808231</v>
      </c>
      <c r="J229" s="33">
        <f t="shared" si="237"/>
        <v>-18.180993622784815</v>
      </c>
      <c r="K229" s="33">
        <f t="shared" si="237"/>
        <v>-10.443915314237604</v>
      </c>
      <c r="L229" s="33">
        <f t="shared" si="237"/>
        <v>-11.940419597647331</v>
      </c>
      <c r="M229" s="33">
        <f t="shared" si="237"/>
        <v>-12.054550452900555</v>
      </c>
      <c r="N229" s="33">
        <f t="shared" si="237"/>
        <v>-12.107829513201239</v>
      </c>
      <c r="O229" s="33">
        <f t="shared" si="237"/>
        <v>-12.13582191497159</v>
      </c>
      <c r="P229" s="33">
        <f t="shared" si="237"/>
        <v>-12.196651852025495</v>
      </c>
      <c r="Q229" s="33">
        <f t="shared" si="237"/>
        <v>-12.276009190263521</v>
      </c>
      <c r="R229" s="33">
        <f t="shared" si="237"/>
        <v>-12.382947958472924</v>
      </c>
      <c r="S229" s="33">
        <f t="shared" si="237"/>
        <v>-12.457591242726286</v>
      </c>
      <c r="T229" s="33">
        <f t="shared" si="237"/>
        <v>-12.530497393028824</v>
      </c>
      <c r="U229" s="33">
        <f t="shared" si="237"/>
        <v>-12.601297094165957</v>
      </c>
    </row>
    <row r="235" spans="2:31" s="4" customFormat="1">
      <c r="B235" s="4" t="s">
        <v>176</v>
      </c>
      <c r="C235" s="4" t="s">
        <v>3</v>
      </c>
      <c r="F235" s="5" t="s">
        <v>4</v>
      </c>
      <c r="G235" s="5" t="s">
        <v>5</v>
      </c>
      <c r="H235" s="5" t="s">
        <v>6</v>
      </c>
      <c r="I235" s="5" t="s">
        <v>7</v>
      </c>
      <c r="J235" s="5" t="s">
        <v>8</v>
      </c>
      <c r="K235" s="5" t="s">
        <v>177</v>
      </c>
      <c r="L235" s="5" t="s">
        <v>10</v>
      </c>
      <c r="M235" s="5" t="s">
        <v>11</v>
      </c>
      <c r="N235" s="5" t="s">
        <v>12</v>
      </c>
      <c r="O235" s="5" t="s">
        <v>13</v>
      </c>
      <c r="P235" s="5" t="s">
        <v>14</v>
      </c>
      <c r="Q235" s="5" t="s">
        <v>15</v>
      </c>
      <c r="R235" s="5" t="s">
        <v>16</v>
      </c>
      <c r="S235" s="5" t="s">
        <v>17</v>
      </c>
      <c r="T235" s="5" t="s">
        <v>18</v>
      </c>
      <c r="U235" s="5" t="s">
        <v>19</v>
      </c>
      <c r="X235" s="5" t="s">
        <v>20</v>
      </c>
      <c r="Y235" s="5" t="s">
        <v>21</v>
      </c>
      <c r="Z235" s="5" t="s">
        <v>22</v>
      </c>
      <c r="AA235" s="5" t="s">
        <v>23</v>
      </c>
      <c r="AB235" s="5" t="s">
        <v>24</v>
      </c>
      <c r="AC235" s="5" t="s">
        <v>25</v>
      </c>
      <c r="AD235" s="5" t="s">
        <v>26</v>
      </c>
      <c r="AE235" s="5" t="s">
        <v>27</v>
      </c>
    </row>
    <row r="236" spans="2:31" s="6" customFormat="1">
      <c r="B236" s="6" t="s">
        <v>178</v>
      </c>
      <c r="F236" s="7">
        <v>641.98900000000003</v>
      </c>
      <c r="G236" s="7">
        <v>1414.0609999999999</v>
      </c>
      <c r="H236" s="7">
        <v>1399.7159999999999</v>
      </c>
      <c r="I236" s="7">
        <v>2384.9070000000002</v>
      </c>
      <c r="J236" s="7">
        <v>4580.4840000000004</v>
      </c>
      <c r="K236" s="6">
        <f>K237+K238+K239+K240+K241+K242+K243</f>
        <v>3680.5195991830687</v>
      </c>
      <c r="L236" s="6">
        <f t="shared" ref="L236:U236" si="238">L237+L238+L239+L240+L241+L242+L243</f>
        <v>10889.214918864409</v>
      </c>
      <c r="M236" s="6">
        <f t="shared" si="238"/>
        <v>15144.805417077001</v>
      </c>
      <c r="N236" s="6">
        <f t="shared" si="238"/>
        <v>18399.835006503679</v>
      </c>
      <c r="O236" s="6">
        <f t="shared" si="238"/>
        <v>21594.128565887939</v>
      </c>
      <c r="P236" s="6">
        <f t="shared" si="238"/>
        <v>25622.671639820619</v>
      </c>
      <c r="Q236" s="6">
        <f t="shared" si="238"/>
        <v>30735.765943614271</v>
      </c>
      <c r="R236" s="6">
        <f t="shared" si="238"/>
        <v>35801.420186288553</v>
      </c>
      <c r="S236" s="6">
        <f t="shared" si="238"/>
        <v>40377.451747945095</v>
      </c>
      <c r="T236" s="6">
        <f t="shared" si="238"/>
        <v>45034.868616934749</v>
      </c>
      <c r="U236" s="6">
        <f t="shared" si="238"/>
        <v>50340.414897583913</v>
      </c>
      <c r="X236" s="7">
        <v>617.03899999999999</v>
      </c>
      <c r="Y236" s="6">
        <f>H236-X236</f>
        <v>782.67699999999991</v>
      </c>
      <c r="Z236" s="7">
        <v>1002.908</v>
      </c>
      <c r="AA236" s="6">
        <f>I236-Z236</f>
        <v>1381.9990000000003</v>
      </c>
      <c r="AB236" s="7">
        <v>1467.6420000000001</v>
      </c>
      <c r="AC236" s="6">
        <f>J236-AB236</f>
        <v>3112.8420000000006</v>
      </c>
      <c r="AD236" s="7">
        <v>336.76499999999999</v>
      </c>
    </row>
    <row r="237" spans="2:31">
      <c r="C237" s="1" t="s">
        <v>81</v>
      </c>
      <c r="F237" s="1">
        <f t="shared" ref="F237:U237" si="239">F87</f>
        <v>410.68200000000007</v>
      </c>
      <c r="G237" s="1">
        <f t="shared" si="239"/>
        <v>978.19099999999935</v>
      </c>
      <c r="H237" s="1">
        <f t="shared" si="239"/>
        <v>1194.3420000000008</v>
      </c>
      <c r="I237" s="1">
        <f t="shared" si="239"/>
        <v>1648.8459999999991</v>
      </c>
      <c r="J237" s="1">
        <f t="shared" si="239"/>
        <v>2346.9620000000014</v>
      </c>
      <c r="K237" s="1">
        <f t="shared" si="239"/>
        <v>309.54600000000232</v>
      </c>
      <c r="L237" s="1">
        <f t="shared" si="239"/>
        <v>3857.7703643523218</v>
      </c>
      <c r="M237" s="1">
        <f t="shared" si="239"/>
        <v>6841.6315016867666</v>
      </c>
      <c r="N237" s="1">
        <f t="shared" si="239"/>
        <v>8255.9527452416332</v>
      </c>
      <c r="O237" s="1">
        <f t="shared" si="239"/>
        <v>9597.7974114641893</v>
      </c>
      <c r="P237" s="1">
        <f t="shared" si="239"/>
        <v>11513.577858917391</v>
      </c>
      <c r="Q237" s="1">
        <f t="shared" si="239"/>
        <v>14382.402252926891</v>
      </c>
      <c r="R237" s="1">
        <f t="shared" si="239"/>
        <v>17121.631968961541</v>
      </c>
      <c r="S237" s="1">
        <f t="shared" si="239"/>
        <v>19555.621604119129</v>
      </c>
      <c r="T237" s="1">
        <f t="shared" si="239"/>
        <v>21885.74654256826</v>
      </c>
      <c r="U237" s="1">
        <f t="shared" si="239"/>
        <v>24739.404467206579</v>
      </c>
      <c r="X237" s="1">
        <f t="shared" ref="X237:AD237" si="240">X87</f>
        <v>553.14799999999991</v>
      </c>
      <c r="Y237" s="1">
        <f t="shared" si="240"/>
        <v>641.1940000000003</v>
      </c>
      <c r="Z237" s="1">
        <f t="shared" si="240"/>
        <v>647.41099999999938</v>
      </c>
      <c r="AA237" s="1">
        <f t="shared" si="240"/>
        <v>1001.4349999999974</v>
      </c>
      <c r="AB237" s="1">
        <f t="shared" si="240"/>
        <v>912.16500000000042</v>
      </c>
      <c r="AC237" s="1">
        <f t="shared" si="240"/>
        <v>1434.7970000000016</v>
      </c>
      <c r="AD237" s="1">
        <f t="shared" si="240"/>
        <v>-964.50700000000052</v>
      </c>
    </row>
    <row r="238" spans="2:31">
      <c r="C238" s="34" t="s">
        <v>179</v>
      </c>
      <c r="F238" s="2">
        <v>236.04900000000001</v>
      </c>
      <c r="G238" s="2">
        <v>281.39499999999998</v>
      </c>
      <c r="H238" s="2">
        <v>355.37700000000001</v>
      </c>
      <c r="I238" s="2">
        <v>679.59</v>
      </c>
      <c r="J238" s="2">
        <v>1233.117</v>
      </c>
      <c r="K238" s="1">
        <f t="shared" ref="K238:U238" si="241">-K131</f>
        <v>2370.6547099594654</v>
      </c>
      <c r="L238" s="1">
        <f t="shared" si="241"/>
        <v>4106.53024849127</v>
      </c>
      <c r="M238" s="1">
        <f t="shared" si="241"/>
        <v>5823.5546724001697</v>
      </c>
      <c r="N238" s="1">
        <f t="shared" si="241"/>
        <v>7757.0729645983884</v>
      </c>
      <c r="O238" s="1">
        <f t="shared" si="241"/>
        <v>9663.2987612078286</v>
      </c>
      <c r="P238" s="1">
        <f t="shared" si="241"/>
        <v>11693.910809041023</v>
      </c>
      <c r="Q238" s="1">
        <f t="shared" si="241"/>
        <v>13872.873570644433</v>
      </c>
      <c r="R238" s="1">
        <f t="shared" si="241"/>
        <v>16221.214440666601</v>
      </c>
      <c r="S238" s="1">
        <f t="shared" si="241"/>
        <v>18511.583004863402</v>
      </c>
      <c r="T238" s="1">
        <f t="shared" si="241"/>
        <v>20868.606893348922</v>
      </c>
      <c r="U238" s="1">
        <f t="shared" si="241"/>
        <v>23332.017942043167</v>
      </c>
      <c r="X238" s="2">
        <v>160.77199999999999</v>
      </c>
      <c r="Y238" s="1">
        <f>H238-X238</f>
        <v>194.60500000000002</v>
      </c>
      <c r="Z238" s="2">
        <v>289.68599999999998</v>
      </c>
      <c r="AA238" s="1">
        <f>I238-Z238</f>
        <v>389.90400000000005</v>
      </c>
      <c r="AB238" s="2">
        <v>534.12699999999995</v>
      </c>
      <c r="AC238" s="1">
        <f>J238-AB238</f>
        <v>698.99</v>
      </c>
      <c r="AD238" s="2">
        <v>895.13499999999999</v>
      </c>
    </row>
    <row r="239" spans="2:31">
      <c r="C239" s="34" t="s">
        <v>180</v>
      </c>
      <c r="F239" s="2">
        <v>3.13</v>
      </c>
      <c r="G239" s="2">
        <v>4.5229999999999997</v>
      </c>
      <c r="H239" s="2">
        <v>4.4619999999999997</v>
      </c>
      <c r="I239" s="2">
        <v>9.7309999999999999</v>
      </c>
      <c r="J239" s="2">
        <v>20.158999999999999</v>
      </c>
      <c r="K239" s="1">
        <f t="shared" ref="K239:U239" si="242">-K142</f>
        <v>43.520657248726259</v>
      </c>
      <c r="L239" s="1">
        <f t="shared" si="242"/>
        <v>46.041443695440158</v>
      </c>
      <c r="M239" s="1">
        <f t="shared" si="242"/>
        <v>47.581518895062317</v>
      </c>
      <c r="N239" s="1">
        <f t="shared" si="242"/>
        <v>48.522428278157086</v>
      </c>
      <c r="O239" s="1">
        <f t="shared" si="242"/>
        <v>49.097277134507081</v>
      </c>
      <c r="P239" s="1">
        <f t="shared" si="242"/>
        <v>49.448481207485919</v>
      </c>
      <c r="Q239" s="1">
        <f t="shared" si="242"/>
        <v>49.663049436185396</v>
      </c>
      <c r="R239" s="1">
        <f t="shared" si="242"/>
        <v>49.794139956795604</v>
      </c>
      <c r="S239" s="1">
        <f t="shared" si="242"/>
        <v>49.874229747805273</v>
      </c>
      <c r="T239" s="1">
        <f t="shared" si="242"/>
        <v>49.92316062849838</v>
      </c>
      <c r="U239" s="1">
        <f t="shared" si="242"/>
        <v>49.953054964033754</v>
      </c>
      <c r="X239" s="2">
        <v>2.2250000000000001</v>
      </c>
      <c r="Y239" s="1">
        <f>H239-X239</f>
        <v>2.2369999999999997</v>
      </c>
      <c r="Z239" s="2">
        <v>3.8839999999999999</v>
      </c>
      <c r="AA239" s="1">
        <f>I239-Z239</f>
        <v>5.8469999999999995</v>
      </c>
      <c r="AB239" s="2">
        <v>8.24</v>
      </c>
      <c r="AC239" s="1">
        <f>J239-AB239</f>
        <v>11.918999999999999</v>
      </c>
      <c r="AD239" s="2">
        <v>14.63</v>
      </c>
    </row>
    <row r="240" spans="2:31">
      <c r="C240" s="34" t="s">
        <v>181</v>
      </c>
      <c r="F240" s="2">
        <v>0</v>
      </c>
      <c r="G240" s="2">
        <v>0</v>
      </c>
      <c r="H240" s="2">
        <v>0</v>
      </c>
      <c r="I240" s="2">
        <v>0</v>
      </c>
      <c r="J240" s="2">
        <v>638.048</v>
      </c>
      <c r="K240" s="1">
        <f t="shared" ref="K240:U240" si="243">-K152</f>
        <v>888.67523197487469</v>
      </c>
      <c r="L240" s="1">
        <f t="shared" si="243"/>
        <v>1413.5214959703694</v>
      </c>
      <c r="M240" s="1">
        <f t="shared" si="243"/>
        <v>1523.1107652069454</v>
      </c>
      <c r="N240" s="1">
        <f t="shared" si="243"/>
        <v>1612.2222030323298</v>
      </c>
      <c r="O240" s="1">
        <f t="shared" si="243"/>
        <v>1591.2523820790791</v>
      </c>
      <c r="P240" s="1">
        <f t="shared" si="243"/>
        <v>1574.2009781496386</v>
      </c>
      <c r="Q240" s="1">
        <f t="shared" si="243"/>
        <v>1560.3357965339674</v>
      </c>
      <c r="R240" s="1">
        <f t="shared" si="243"/>
        <v>1549.0614602956691</v>
      </c>
      <c r="S240" s="1">
        <f t="shared" si="243"/>
        <v>1446.463933214387</v>
      </c>
      <c r="T240" s="1">
        <f t="shared" si="243"/>
        <v>1363.0377618453165</v>
      </c>
      <c r="U240" s="1">
        <f t="shared" si="243"/>
        <v>1295.2005900605848</v>
      </c>
      <c r="X240" s="2">
        <v>0</v>
      </c>
      <c r="Y240" s="1">
        <f>H240-X240</f>
        <v>0</v>
      </c>
      <c r="Z240" s="2">
        <v>0</v>
      </c>
      <c r="AA240" s="1">
        <f>I240-Z240</f>
        <v>0</v>
      </c>
      <c r="AB240" s="2">
        <v>287.77699999999999</v>
      </c>
      <c r="AC240" s="1">
        <f>J240-AB240</f>
        <v>350.27100000000002</v>
      </c>
      <c r="AD240" s="2">
        <v>387.22500000000002</v>
      </c>
    </row>
    <row r="241" spans="2:30">
      <c r="C241" s="34" t="s">
        <v>182</v>
      </c>
      <c r="G241" s="1">
        <f>-(G212-F212)</f>
        <v>302.4580000000002</v>
      </c>
      <c r="H241" s="1">
        <f>-(H212-G212)</f>
        <v>1304.3969999999999</v>
      </c>
      <c r="I241" s="1">
        <f>-(I212-H212)</f>
        <v>-128.63800000000026</v>
      </c>
      <c r="J241" s="1">
        <f>-(J212-I212)</f>
        <v>374.33200000000022</v>
      </c>
      <c r="K241" s="1">
        <f t="shared" ref="K241:U241" si="244">-(K212-J212)</f>
        <v>-506.25300000000016</v>
      </c>
      <c r="L241" s="1">
        <f t="shared" si="244"/>
        <v>1281.9348457093008</v>
      </c>
      <c r="M241" s="1">
        <f t="shared" si="244"/>
        <v>725.51043824235057</v>
      </c>
      <c r="N241" s="1">
        <f t="shared" si="244"/>
        <v>542.6481447074666</v>
      </c>
      <c r="O241" s="1">
        <f t="shared" si="244"/>
        <v>519.26621335662776</v>
      </c>
      <c r="P241" s="1">
        <f t="shared" si="244"/>
        <v>618.11699185937459</v>
      </c>
      <c r="Q241" s="1">
        <f t="shared" si="244"/>
        <v>717.07475342708494</v>
      </c>
      <c r="R241" s="1">
        <f t="shared" si="244"/>
        <v>706.30165576224681</v>
      </c>
      <c r="S241" s="1">
        <f t="shared" si="244"/>
        <v>660.49245535467162</v>
      </c>
      <c r="T241" s="1">
        <f t="shared" si="244"/>
        <v>714.137737898056</v>
      </c>
      <c r="U241" s="1">
        <f t="shared" si="244"/>
        <v>770.42232266384599</v>
      </c>
      <c r="Z241" s="1">
        <f>-(Z212-Y212)</f>
        <v>1.4629999999997949</v>
      </c>
      <c r="AA241" s="1">
        <f>-(AA212-Z212)</f>
        <v>236.87199999999973</v>
      </c>
      <c r="AB241" s="1">
        <f>-(AB212-AA212)</f>
        <v>-69.488999999999407</v>
      </c>
      <c r="AC241" s="1">
        <f>-(AC212-AB212)</f>
        <v>64.390999999999792</v>
      </c>
      <c r="AD241" s="1">
        <f>-(AD212-AC212)</f>
        <v>18.753000000000043</v>
      </c>
    </row>
    <row r="242" spans="2:30">
      <c r="C242" s="34" t="s">
        <v>183</v>
      </c>
      <c r="F242" s="1">
        <f t="shared" ref="F242:U242" si="245">-F66-F76-F74-F72</f>
        <v>-7.5059999999999985</v>
      </c>
      <c r="G242" s="1">
        <f t="shared" si="245"/>
        <v>-7.5550000000000006</v>
      </c>
      <c r="H242" s="1">
        <f t="shared" si="245"/>
        <v>-22.593</v>
      </c>
      <c r="I242" s="1">
        <f t="shared" si="245"/>
        <v>-52.564</v>
      </c>
      <c r="J242" s="1">
        <f t="shared" si="245"/>
        <v>-67.00800000000001</v>
      </c>
      <c r="K242" s="1">
        <f t="shared" si="245"/>
        <v>574.37600000000009</v>
      </c>
      <c r="L242" s="1">
        <f t="shared" si="245"/>
        <v>183.41652064570724</v>
      </c>
      <c r="M242" s="1">
        <f t="shared" si="245"/>
        <v>183.41652064570724</v>
      </c>
      <c r="N242" s="1">
        <f t="shared" si="245"/>
        <v>183.41652064570724</v>
      </c>
      <c r="O242" s="1">
        <f t="shared" si="245"/>
        <v>173.41652064570724</v>
      </c>
      <c r="P242" s="1">
        <f t="shared" si="245"/>
        <v>173.41652064570724</v>
      </c>
      <c r="Q242" s="1">
        <f t="shared" si="245"/>
        <v>153.41652064570724</v>
      </c>
      <c r="R242" s="1">
        <f t="shared" si="245"/>
        <v>153.41652064570724</v>
      </c>
      <c r="S242" s="1">
        <f t="shared" si="245"/>
        <v>153.41652064570724</v>
      </c>
      <c r="T242" s="1">
        <f t="shared" si="245"/>
        <v>153.41652064570724</v>
      </c>
      <c r="U242" s="1">
        <f t="shared" si="245"/>
        <v>153.41652064570724</v>
      </c>
      <c r="Z242" s="1">
        <f>-Z76-Z74-Z72</f>
        <v>-15.257000000000001</v>
      </c>
      <c r="AA242" s="1">
        <f>-AA76-AA74-AA72</f>
        <v>0.94500000000000028</v>
      </c>
      <c r="AB242" s="1">
        <f>-AB76-AB74-AB72</f>
        <v>86.631</v>
      </c>
      <c r="AC242" s="1">
        <f>-AC76-AC74-AC72</f>
        <v>-10.163000000000025</v>
      </c>
      <c r="AD242" s="1">
        <f>-AD76-AD74-AD72</f>
        <v>108.25</v>
      </c>
    </row>
    <row r="243" spans="2:30" s="35" customFormat="1">
      <c r="C243" s="35" t="s">
        <v>184</v>
      </c>
      <c r="F243" s="35">
        <f>F236-SUM(F237:F242)</f>
        <v>-0.36600000000009913</v>
      </c>
      <c r="G243" s="35">
        <f t="shared" ref="G243:J243" si="246">G236-SUM(G237:G242)</f>
        <v>-144.95099999999957</v>
      </c>
      <c r="H243" s="35">
        <f t="shared" si="246"/>
        <v>-1436.2690000000007</v>
      </c>
      <c r="I243" s="35">
        <f t="shared" si="246"/>
        <v>227.94200000000092</v>
      </c>
      <c r="J243" s="35">
        <f t="shared" si="246"/>
        <v>34.873999999997977</v>
      </c>
      <c r="Z243" s="35">
        <f t="shared" ref="Z243:AD243" si="247">Z236-SUM(Z237:Z242)</f>
        <v>75.721000000000913</v>
      </c>
      <c r="AA243" s="35">
        <f t="shared" si="247"/>
        <v>-253.00399999999695</v>
      </c>
      <c r="AB243" s="35">
        <f t="shared" si="247"/>
        <v>-291.80900000000111</v>
      </c>
      <c r="AC243" s="35">
        <f t="shared" si="247"/>
        <v>562.63699999999926</v>
      </c>
      <c r="AD243" s="35">
        <f t="shared" si="247"/>
        <v>-122.72099999999955</v>
      </c>
    </row>
    <row r="245" spans="2:30" s="6" customFormat="1">
      <c r="C245" s="6" t="s">
        <v>185</v>
      </c>
      <c r="F245" s="6">
        <f t="shared" ref="F245:I245" si="248">F236+F258</f>
        <v>641.98900000000003</v>
      </c>
      <c r="G245" s="6">
        <f t="shared" si="248"/>
        <v>1414.0609999999999</v>
      </c>
      <c r="H245" s="6">
        <f t="shared" si="248"/>
        <v>1399.7159999999999</v>
      </c>
      <c r="I245" s="6">
        <f t="shared" si="248"/>
        <v>2384.9070000000002</v>
      </c>
      <c r="J245" s="6">
        <f>J236+J258</f>
        <v>3881.4300000000003</v>
      </c>
      <c r="K245" s="6">
        <f>K236+K258</f>
        <v>2791.8443672081939</v>
      </c>
      <c r="L245" s="6">
        <f t="shared" ref="L245:U245" si="249">L236+L258</f>
        <v>9475.693422894039</v>
      </c>
      <c r="M245" s="6">
        <f t="shared" si="249"/>
        <v>13621.694651870055</v>
      </c>
      <c r="N245" s="6">
        <f t="shared" si="249"/>
        <v>16787.612803471351</v>
      </c>
      <c r="O245" s="6">
        <f t="shared" si="249"/>
        <v>20002.876183808861</v>
      </c>
      <c r="P245" s="6">
        <f t="shared" si="249"/>
        <v>24048.470661670981</v>
      </c>
      <c r="Q245" s="6">
        <f t="shared" si="249"/>
        <v>29175.430147080304</v>
      </c>
      <c r="R245" s="6">
        <f t="shared" si="249"/>
        <v>34252.358725992883</v>
      </c>
      <c r="S245" s="6">
        <f t="shared" si="249"/>
        <v>38930.98781473071</v>
      </c>
      <c r="T245" s="6">
        <f t="shared" si="249"/>
        <v>43671.830855089436</v>
      </c>
      <c r="U245" s="6">
        <f t="shared" si="249"/>
        <v>49045.214307523325</v>
      </c>
    </row>
    <row r="248" spans="2:30" s="6" customFormat="1">
      <c r="B248" s="6" t="s">
        <v>186</v>
      </c>
      <c r="F248" s="7">
        <v>-915.92</v>
      </c>
      <c r="G248" s="7">
        <v>-1280.876</v>
      </c>
      <c r="H248" s="7">
        <v>-1564.855</v>
      </c>
      <c r="I248" s="7">
        <v>-3863.5889999999999</v>
      </c>
      <c r="J248" s="7">
        <v>-5026.2759999999998</v>
      </c>
      <c r="K248" s="6">
        <f>SUM(K249:K253)</f>
        <v>-6165.5946841201721</v>
      </c>
      <c r="L248" s="6">
        <f t="shared" ref="L248:U248" si="250">SUM(L249:L253)</f>
        <v>-9675.9607581866949</v>
      </c>
      <c r="M248" s="6">
        <f t="shared" si="250"/>
        <v>-12095.21605221191</v>
      </c>
      <c r="N248" s="6">
        <f t="shared" si="250"/>
        <v>-13940.206973744178</v>
      </c>
      <c r="O248" s="6">
        <f t="shared" si="250"/>
        <v>-16239.898541082206</v>
      </c>
      <c r="P248" s="6">
        <f t="shared" si="250"/>
        <v>-18751.708747719676</v>
      </c>
      <c r="Q248" s="6">
        <f t="shared" si="250"/>
        <v>-21460.075228668185</v>
      </c>
      <c r="R248" s="6">
        <f t="shared" si="250"/>
        <v>-23620.37408584225</v>
      </c>
      <c r="S248" s="6">
        <f t="shared" si="250"/>
        <v>-26126.949357152818</v>
      </c>
      <c r="T248" s="6">
        <f t="shared" si="250"/>
        <v>-28829.05622037984</v>
      </c>
      <c r="U248" s="6">
        <f t="shared" si="250"/>
        <v>-31739.981396536681</v>
      </c>
      <c r="X248" s="7">
        <v>-713.89499999999998</v>
      </c>
      <c r="Y248" s="6">
        <f>H248-X248</f>
        <v>-850.96</v>
      </c>
      <c r="Z248" s="7">
        <v>-398.697</v>
      </c>
      <c r="AA248" s="6">
        <f>I248-Z248</f>
        <v>-3464.8919999999998</v>
      </c>
      <c r="AB248" s="7">
        <v>-1843.482</v>
      </c>
      <c r="AC248" s="6">
        <f>J248-AB248</f>
        <v>-3182.7939999999999</v>
      </c>
      <c r="AD248" s="7">
        <v>-2413.1309999999999</v>
      </c>
    </row>
    <row r="249" spans="2:30">
      <c r="C249" s="1" t="s">
        <v>187</v>
      </c>
      <c r="F249" s="2">
        <v>-399.92500000000001</v>
      </c>
      <c r="G249" s="2">
        <v>-429.46600000000001</v>
      </c>
      <c r="H249" s="2">
        <v>-1242.904</v>
      </c>
      <c r="I249" s="2">
        <v>-2508.2629999999999</v>
      </c>
      <c r="J249" s="2">
        <v>-4880.8069999999998</v>
      </c>
      <c r="K249" s="1">
        <f t="shared" ref="K249:U249" si="251">-K127</f>
        <v>-8001.2316841201718</v>
      </c>
      <c r="L249" s="1">
        <f t="shared" si="251"/>
        <v>-9675.9607581866949</v>
      </c>
      <c r="M249" s="1">
        <f t="shared" si="251"/>
        <v>-12095.21605221191</v>
      </c>
      <c r="N249" s="1">
        <f t="shared" si="251"/>
        <v>-13940.206973744178</v>
      </c>
      <c r="O249" s="1">
        <f t="shared" si="251"/>
        <v>-16249.898541082206</v>
      </c>
      <c r="P249" s="1">
        <f t="shared" si="251"/>
        <v>-18761.708747719676</v>
      </c>
      <c r="Q249" s="1">
        <f t="shared" si="251"/>
        <v>-21490.075228668185</v>
      </c>
      <c r="R249" s="1">
        <f t="shared" si="251"/>
        <v>-23650.37408584225</v>
      </c>
      <c r="S249" s="1">
        <f t="shared" si="251"/>
        <v>-26156.949357152818</v>
      </c>
      <c r="T249" s="1">
        <f t="shared" si="251"/>
        <v>-28859.05622037984</v>
      </c>
      <c r="U249" s="1">
        <f t="shared" si="251"/>
        <v>-31769.981396536681</v>
      </c>
      <c r="X249" s="2">
        <v>-311.99900000000002</v>
      </c>
      <c r="Y249" s="1">
        <f>H249-X249</f>
        <v>-930.90499999999997</v>
      </c>
      <c r="Z249" s="2">
        <v>-901.44600000000003</v>
      </c>
      <c r="AA249" s="1">
        <f>I249-Z249</f>
        <v>-1606.817</v>
      </c>
      <c r="AB249" s="2">
        <v>-1763.0630000000001</v>
      </c>
      <c r="AC249" s="1">
        <f>J249-AB249</f>
        <v>-3117.7439999999997</v>
      </c>
      <c r="AD249" s="2">
        <v>-1807.7080000000001</v>
      </c>
    </row>
    <row r="250" spans="2:30">
      <c r="C250" s="1" t="s">
        <v>188</v>
      </c>
      <c r="F250" s="2">
        <v>-12.512</v>
      </c>
      <c r="G250" s="2">
        <v>-0.22600000000000001</v>
      </c>
      <c r="H250" s="2">
        <v>-0.17299999999999999</v>
      </c>
      <c r="I250" s="2">
        <v>-50.805999999999997</v>
      </c>
      <c r="J250" s="2">
        <v>-63.118000000000002</v>
      </c>
      <c r="K250" s="1">
        <f t="shared" ref="K250:U250" si="252">-K141</f>
        <v>-50</v>
      </c>
      <c r="L250" s="1">
        <f t="shared" si="252"/>
        <v>-50</v>
      </c>
      <c r="M250" s="1">
        <f t="shared" si="252"/>
        <v>-50</v>
      </c>
      <c r="N250" s="1">
        <f t="shared" si="252"/>
        <v>-50</v>
      </c>
      <c r="O250" s="1">
        <f t="shared" si="252"/>
        <v>-50</v>
      </c>
      <c r="P250" s="1">
        <f t="shared" si="252"/>
        <v>-50</v>
      </c>
      <c r="Q250" s="1">
        <f t="shared" si="252"/>
        <v>-50</v>
      </c>
      <c r="R250" s="1">
        <f t="shared" si="252"/>
        <v>-50</v>
      </c>
      <c r="S250" s="1">
        <f t="shared" si="252"/>
        <v>-50</v>
      </c>
      <c r="T250" s="1">
        <f t="shared" si="252"/>
        <v>-50</v>
      </c>
      <c r="U250" s="1">
        <f t="shared" si="252"/>
        <v>-50</v>
      </c>
      <c r="X250" s="2">
        <v>-2.8000000000000001E-2</v>
      </c>
      <c r="Y250" s="1">
        <f>H250-X250</f>
        <v>-0.14499999999999999</v>
      </c>
      <c r="Z250" s="2">
        <v>-25.151</v>
      </c>
      <c r="AA250" s="1">
        <f>I250-Z250</f>
        <v>-25.654999999999998</v>
      </c>
      <c r="AB250" s="2">
        <v>-20.882000000000001</v>
      </c>
      <c r="AC250" s="1">
        <f>J250-AB250</f>
        <v>-42.236000000000004</v>
      </c>
      <c r="AD250" s="2">
        <v>-5.6950000000000003</v>
      </c>
    </row>
    <row r="251" spans="2:30">
      <c r="C251" s="1" t="s">
        <v>189</v>
      </c>
      <c r="F251" s="2">
        <v>0</v>
      </c>
      <c r="G251" s="2">
        <v>0</v>
      </c>
      <c r="H251" s="2">
        <v>0</v>
      </c>
      <c r="I251" s="2">
        <v>0</v>
      </c>
      <c r="J251" s="2">
        <v>-99.62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X251" s="2">
        <v>0</v>
      </c>
      <c r="Y251" s="1">
        <f>H251-X251</f>
        <v>0</v>
      </c>
      <c r="Z251" s="2">
        <v>0</v>
      </c>
      <c r="AA251" s="1">
        <f>I251-Z251</f>
        <v>0</v>
      </c>
      <c r="AB251" s="2">
        <v>-101.06</v>
      </c>
      <c r="AC251" s="1">
        <f>J251-AB251</f>
        <v>1.4399999999999977</v>
      </c>
      <c r="AD251" s="2">
        <v>-99.034999999999997</v>
      </c>
    </row>
    <row r="252" spans="2:30">
      <c r="C252" s="1" t="s">
        <v>190</v>
      </c>
      <c r="F252" s="2">
        <v>-1.639</v>
      </c>
      <c r="G252" s="1">
        <f t="shared" ref="G252:U252" si="253">-(G172-F172)-(G120+G170-F120-F170)</f>
        <v>-34.573999999999998</v>
      </c>
      <c r="H252" s="1">
        <f t="shared" si="253"/>
        <v>-11.443999999999996</v>
      </c>
      <c r="I252" s="1">
        <f t="shared" si="253"/>
        <v>-1783.9590000000001</v>
      </c>
      <c r="J252" s="1">
        <f t="shared" si="253"/>
        <v>-30.523000000000188</v>
      </c>
      <c r="K252" s="1">
        <f t="shared" si="253"/>
        <v>1844.3480000000002</v>
      </c>
      <c r="L252" s="1">
        <f t="shared" si="253"/>
        <v>0</v>
      </c>
      <c r="M252" s="1">
        <f t="shared" si="253"/>
        <v>0</v>
      </c>
      <c r="N252" s="1">
        <f t="shared" si="253"/>
        <v>0</v>
      </c>
      <c r="O252" s="1">
        <f t="shared" si="253"/>
        <v>0</v>
      </c>
      <c r="P252" s="1">
        <f t="shared" si="253"/>
        <v>0</v>
      </c>
      <c r="Q252" s="1">
        <f t="shared" si="253"/>
        <v>0</v>
      </c>
      <c r="R252" s="1">
        <f t="shared" si="253"/>
        <v>0</v>
      </c>
      <c r="S252" s="1">
        <f t="shared" si="253"/>
        <v>0</v>
      </c>
      <c r="T252" s="1">
        <f t="shared" si="253"/>
        <v>0</v>
      </c>
      <c r="U252" s="1">
        <f t="shared" si="253"/>
        <v>0</v>
      </c>
      <c r="Z252" s="1">
        <f>-(Z172-Y172)-(Z120+Z170-Y120-Y170)</f>
        <v>46.51</v>
      </c>
      <c r="AA252" s="1">
        <f>-(AA172-Z172)-(AA120+AA170-Z120-Z170)</f>
        <v>-1830.4690000000001</v>
      </c>
      <c r="AB252" s="1">
        <f>-(AB172-AA172)-(AB120+AB170-AA120-AA170)</f>
        <v>30.701999999999799</v>
      </c>
      <c r="AC252" s="1">
        <f>-(AC172-AB172)-(AC120+AC170-AB120-AB170)</f>
        <v>-61.224999999999987</v>
      </c>
      <c r="AD252" s="1">
        <f>-(AD172-AC172)-(AD120+AD170-AC120-AC170)</f>
        <v>731.71500000000015</v>
      </c>
    </row>
    <row r="253" spans="2:30" s="35" customFormat="1">
      <c r="C253" s="35" t="s">
        <v>184</v>
      </c>
      <c r="F253" s="35">
        <f>F248-SUM(F249:F252)</f>
        <v>-501.84399999999994</v>
      </c>
      <c r="G253" s="35">
        <f t="shared" ref="G253:H253" si="254">G248-SUM(G249:G252)</f>
        <v>-816.6099999999999</v>
      </c>
      <c r="H253" s="35">
        <f t="shared" si="254"/>
        <v>-310.33400000000006</v>
      </c>
      <c r="I253" s="35">
        <f t="shared" ref="I253:J253" si="255">I248-SUM(I249:I252)</f>
        <v>479.43900000000031</v>
      </c>
      <c r="J253" s="35">
        <f t="shared" si="255"/>
        <v>47.792000000000371</v>
      </c>
      <c r="K253" s="35">
        <f t="shared" ref="K253:U253" si="256">K66</f>
        <v>41.289000000000001</v>
      </c>
      <c r="L253" s="35">
        <f t="shared" si="256"/>
        <v>50</v>
      </c>
      <c r="M253" s="35">
        <f t="shared" si="256"/>
        <v>50</v>
      </c>
      <c r="N253" s="35">
        <f t="shared" si="256"/>
        <v>50</v>
      </c>
      <c r="O253" s="35">
        <f t="shared" si="256"/>
        <v>60</v>
      </c>
      <c r="P253" s="35">
        <f t="shared" si="256"/>
        <v>60</v>
      </c>
      <c r="Q253" s="35">
        <f t="shared" si="256"/>
        <v>80</v>
      </c>
      <c r="R253" s="35">
        <f t="shared" si="256"/>
        <v>80</v>
      </c>
      <c r="S253" s="35">
        <f t="shared" si="256"/>
        <v>80</v>
      </c>
      <c r="T253" s="35">
        <f t="shared" si="256"/>
        <v>80</v>
      </c>
      <c r="U253" s="35">
        <f t="shared" si="256"/>
        <v>80</v>
      </c>
      <c r="Z253" s="35">
        <f t="shared" ref="Z253:AD253" si="257">Z248-SUM(Z249:Z252)</f>
        <v>481.39</v>
      </c>
      <c r="AA253" s="35">
        <f t="shared" si="257"/>
        <v>-1.9510000000000218</v>
      </c>
      <c r="AB253" s="35">
        <f t="shared" si="257"/>
        <v>10.821000000000367</v>
      </c>
      <c r="AC253" s="35">
        <f t="shared" si="257"/>
        <v>36.970999999999549</v>
      </c>
      <c r="AD253" s="35">
        <f t="shared" si="257"/>
        <v>-1232.4079999999999</v>
      </c>
    </row>
    <row r="255" spans="2:30" s="6" customFormat="1">
      <c r="B255" s="6" t="s">
        <v>191</v>
      </c>
      <c r="F255" s="7">
        <v>158.59100000000001</v>
      </c>
      <c r="G255" s="7">
        <v>157.73500000000001</v>
      </c>
      <c r="H255" s="7">
        <v>104.943</v>
      </c>
      <c r="I255" s="7">
        <v>5339.3980000000001</v>
      </c>
      <c r="J255" s="7">
        <v>-1489.7180000000001</v>
      </c>
      <c r="K255" s="6">
        <f>SUM(K256:K261)</f>
        <v>1807.2787680251256</v>
      </c>
      <c r="L255" s="6">
        <f t="shared" ref="L255:U255" si="258">SUM(L256:L261)</f>
        <v>-1739.7193166160769</v>
      </c>
      <c r="M255" s="6">
        <f t="shared" si="258"/>
        <v>-2912.8302246923708</v>
      </c>
      <c r="N255" s="6">
        <f t="shared" si="258"/>
        <v>-3896.3047469748835</v>
      </c>
      <c r="O255" s="6">
        <f t="shared" si="258"/>
        <v>-4299.2543551036952</v>
      </c>
      <c r="P255" s="6">
        <f t="shared" si="258"/>
        <v>-4684.3987234672059</v>
      </c>
      <c r="Q255" s="6">
        <f t="shared" si="258"/>
        <v>-5244.7570835199413</v>
      </c>
      <c r="R255" s="6">
        <f t="shared" si="258"/>
        <v>-6093.3654682598226</v>
      </c>
      <c r="S255" s="6">
        <f t="shared" si="258"/>
        <v>-6811.8067982541406</v>
      </c>
      <c r="T255" s="6">
        <f t="shared" si="258"/>
        <v>-7457.9288120867686</v>
      </c>
      <c r="U255" s="6">
        <f t="shared" si="258"/>
        <v>-8088.5080984430842</v>
      </c>
      <c r="X255" s="7">
        <v>485.79399999999998</v>
      </c>
      <c r="Y255" s="6">
        <f>H255-X255</f>
        <v>-380.851</v>
      </c>
      <c r="Z255" s="7">
        <v>-373.971</v>
      </c>
      <c r="AA255" s="6">
        <f>I255-Z255</f>
        <v>5713.3690000000006</v>
      </c>
      <c r="AB255" s="7">
        <v>-732.49400000000003</v>
      </c>
      <c r="AC255" s="6">
        <f>J255-AB255</f>
        <v>-757.22400000000005</v>
      </c>
      <c r="AD255" s="7">
        <v>2097.9349999999999</v>
      </c>
    </row>
    <row r="256" spans="2:30">
      <c r="C256" s="1" t="s">
        <v>192</v>
      </c>
      <c r="F256" s="2">
        <f>-76.563+234.374</f>
        <v>157.81099999999998</v>
      </c>
      <c r="G256" s="1">
        <f t="shared" ref="G256:U256" si="259">G191+G184-F191-F184</f>
        <v>164.17099999999999</v>
      </c>
      <c r="H256" s="1">
        <f t="shared" si="259"/>
        <v>-221.34199999999998</v>
      </c>
      <c r="I256" s="1">
        <f t="shared" si="259"/>
        <v>53.133999999999958</v>
      </c>
      <c r="J256" s="1">
        <f t="shared" si="259"/>
        <v>-180.82</v>
      </c>
      <c r="K256" s="1">
        <f t="shared" si="259"/>
        <v>3844.9260000000004</v>
      </c>
      <c r="L256" s="1">
        <f t="shared" si="259"/>
        <v>0</v>
      </c>
      <c r="M256" s="1">
        <f t="shared" si="259"/>
        <v>0</v>
      </c>
      <c r="N256" s="1">
        <f t="shared" si="259"/>
        <v>0</v>
      </c>
      <c r="O256" s="1">
        <f t="shared" si="259"/>
        <v>0</v>
      </c>
      <c r="P256" s="1">
        <f t="shared" si="259"/>
        <v>0</v>
      </c>
      <c r="Q256" s="1">
        <f t="shared" si="259"/>
        <v>0</v>
      </c>
      <c r="R256" s="1">
        <f t="shared" si="259"/>
        <v>0</v>
      </c>
      <c r="S256" s="1">
        <f t="shared" si="259"/>
        <v>0</v>
      </c>
      <c r="T256" s="1">
        <f t="shared" si="259"/>
        <v>0</v>
      </c>
      <c r="U256" s="1">
        <f t="shared" si="259"/>
        <v>0</v>
      </c>
      <c r="Z256" s="1">
        <f>Z191+Z184-Y191-Y184</f>
        <v>754.26200000000006</v>
      </c>
      <c r="AA256" s="1">
        <f>AA191+AA184-Z191-Z184</f>
        <v>-701.12799999999993</v>
      </c>
      <c r="AB256" s="1">
        <f>AB191+AB184-AA191-AA184</f>
        <v>109.49100000000004</v>
      </c>
      <c r="AC256" s="1">
        <f>AC191+AC184-AB191-AB184</f>
        <v>-290.31100000000004</v>
      </c>
      <c r="AD256" s="1">
        <f>AD191+AD184-AC191-AC184</f>
        <v>3171.7080000000001</v>
      </c>
    </row>
    <row r="257" spans="2:30">
      <c r="C257" s="1" t="s">
        <v>193</v>
      </c>
      <c r="F257" s="2">
        <v>5.3570000000000002</v>
      </c>
      <c r="G257" s="2">
        <v>-5.6000000000000001E-2</v>
      </c>
      <c r="H257" s="2">
        <f>1492.26-796.778</f>
        <v>695.48199999999997</v>
      </c>
      <c r="I257" s="2">
        <f>712.688-1428.472</f>
        <v>-715.78399999999999</v>
      </c>
      <c r="J257" s="2">
        <v>0</v>
      </c>
      <c r="X257" s="2">
        <f>531.001-0.161</f>
        <v>530.84</v>
      </c>
      <c r="Y257" s="1">
        <f>H257-X257</f>
        <v>164.64199999999994</v>
      </c>
      <c r="Z257" s="2">
        <f>712.688-1403.623</f>
        <v>-690.93500000000006</v>
      </c>
      <c r="AA257" s="1">
        <f>I257-Z257</f>
        <v>-24.848999999999933</v>
      </c>
      <c r="AB257" s="2">
        <v>0</v>
      </c>
      <c r="AC257" s="1">
        <f>J257-AB257</f>
        <v>0</v>
      </c>
      <c r="AD257" s="2">
        <v>0</v>
      </c>
    </row>
    <row r="258" spans="2:30">
      <c r="C258" s="1" t="s">
        <v>194</v>
      </c>
      <c r="F258" s="2">
        <v>0</v>
      </c>
      <c r="G258" s="2">
        <v>0</v>
      </c>
      <c r="H258" s="2">
        <v>0</v>
      </c>
      <c r="I258" s="2">
        <v>0</v>
      </c>
      <c r="J258" s="2">
        <v>-699.05399999999997</v>
      </c>
      <c r="K258" s="1">
        <f>-K240</f>
        <v>-888.67523197487469</v>
      </c>
      <c r="L258" s="1">
        <f>-L240</f>
        <v>-1413.5214959703694</v>
      </c>
      <c r="M258" s="1">
        <f t="shared" ref="M258:U258" si="260">-M240</f>
        <v>-1523.1107652069454</v>
      </c>
      <c r="N258" s="1">
        <f t="shared" si="260"/>
        <v>-1612.2222030323298</v>
      </c>
      <c r="O258" s="1">
        <f t="shared" si="260"/>
        <v>-1591.2523820790791</v>
      </c>
      <c r="P258" s="1">
        <f t="shared" si="260"/>
        <v>-1574.2009781496386</v>
      </c>
      <c r="Q258" s="1">
        <f t="shared" si="260"/>
        <v>-1560.3357965339674</v>
      </c>
      <c r="R258" s="1">
        <f t="shared" si="260"/>
        <v>-1549.0614602956691</v>
      </c>
      <c r="S258" s="1">
        <f t="shared" si="260"/>
        <v>-1446.463933214387</v>
      </c>
      <c r="T258" s="1">
        <f t="shared" si="260"/>
        <v>-1363.0377618453165</v>
      </c>
      <c r="U258" s="1">
        <f t="shared" si="260"/>
        <v>-1295.2005900605848</v>
      </c>
      <c r="X258" s="2">
        <v>0</v>
      </c>
      <c r="Y258" s="1">
        <f>H258-X258</f>
        <v>0</v>
      </c>
      <c r="Z258" s="2">
        <v>0</v>
      </c>
      <c r="AA258" s="1">
        <f>I258-Z258</f>
        <v>0</v>
      </c>
      <c r="AB258" s="2">
        <v>-264.262</v>
      </c>
      <c r="AC258" s="1">
        <f>J258-AB258</f>
        <v>-434.79199999999997</v>
      </c>
      <c r="AD258" s="2">
        <v>-318.54500000000002</v>
      </c>
    </row>
    <row r="259" spans="2:30">
      <c r="C259" s="1" t="s">
        <v>195</v>
      </c>
      <c r="F259" s="2">
        <v>0</v>
      </c>
      <c r="G259" s="2">
        <v>0</v>
      </c>
      <c r="H259" s="2">
        <v>0</v>
      </c>
      <c r="I259" s="2">
        <v>-460.89</v>
      </c>
      <c r="J259" s="2">
        <v>-473.416</v>
      </c>
      <c r="K259" s="1">
        <f t="shared" ref="K259:U259" si="261">-J101</f>
        <v>-703.41300000000001</v>
      </c>
      <c r="L259" s="1">
        <f t="shared" si="261"/>
        <v>-92.781300000000002</v>
      </c>
      <c r="M259" s="1">
        <f t="shared" si="261"/>
        <v>-1156.3029388397181</v>
      </c>
      <c r="N259" s="1">
        <f t="shared" si="261"/>
        <v>-2050.6660232968466</v>
      </c>
      <c r="O259" s="1">
        <f t="shared" si="261"/>
        <v>-2474.5854523789089</v>
      </c>
      <c r="P259" s="1">
        <f t="shared" si="261"/>
        <v>-2876.7812246718604</v>
      </c>
      <c r="Q259" s="1">
        <f t="shared" si="261"/>
        <v>-3451.0047663402665</v>
      </c>
      <c r="R259" s="1">
        <f t="shared" si="261"/>
        <v>-4310.8874873184459</v>
      </c>
      <c r="S259" s="1">
        <f t="shared" si="261"/>
        <v>-5131.9263443940463</v>
      </c>
      <c r="T259" s="1">
        <f t="shared" si="261"/>
        <v>-5861.4745295957446</v>
      </c>
      <c r="U259" s="1">
        <f t="shared" si="261"/>
        <v>-6559.8909877367923</v>
      </c>
      <c r="X259" s="2">
        <v>0</v>
      </c>
      <c r="Y259" s="1">
        <f>H259-X259</f>
        <v>0</v>
      </c>
      <c r="Z259" s="2">
        <v>-460.89</v>
      </c>
      <c r="AA259" s="1">
        <f>I259-Z259</f>
        <v>0</v>
      </c>
      <c r="AB259" s="2">
        <v>-473.416</v>
      </c>
      <c r="AC259" s="1">
        <f>J259-AB259</f>
        <v>0</v>
      </c>
      <c r="AD259" s="2">
        <v>-703.41300000000001</v>
      </c>
    </row>
    <row r="260" spans="2:30">
      <c r="C260" s="1" t="s">
        <v>196</v>
      </c>
      <c r="F260" s="2">
        <v>0</v>
      </c>
      <c r="G260" s="2">
        <v>0</v>
      </c>
      <c r="H260" s="2">
        <v>0</v>
      </c>
      <c r="I260" s="2">
        <f>6632.014</f>
        <v>6632.0140000000001</v>
      </c>
      <c r="J260" s="2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X260" s="2">
        <v>0</v>
      </c>
      <c r="Y260" s="1">
        <f>H260-X260</f>
        <v>0</v>
      </c>
      <c r="Z260" s="2">
        <v>0</v>
      </c>
      <c r="AA260" s="1">
        <f>I260-Z260</f>
        <v>6632.0140000000001</v>
      </c>
      <c r="AB260" s="2">
        <v>0</v>
      </c>
      <c r="AC260" s="1">
        <f>J260-AB260</f>
        <v>0</v>
      </c>
      <c r="AD260" s="2">
        <v>0</v>
      </c>
    </row>
    <row r="261" spans="2:30" s="35" customFormat="1">
      <c r="C261" s="35" t="s">
        <v>184</v>
      </c>
      <c r="F261" s="35">
        <f>F255-SUM(F256:F260)</f>
        <v>-4.5769999999999698</v>
      </c>
      <c r="G261" s="35">
        <f t="shared" ref="G261:H261" si="262">G255-SUM(G256:G260)</f>
        <v>-6.379999999999967</v>
      </c>
      <c r="H261" s="35">
        <f t="shared" si="262"/>
        <v>-369.197</v>
      </c>
      <c r="I261" s="35">
        <f t="shared" ref="I261:J261" si="263">I255-SUM(I256:I260)</f>
        <v>-169.07600000000002</v>
      </c>
      <c r="J261" s="35">
        <f t="shared" si="263"/>
        <v>-136.42800000000011</v>
      </c>
      <c r="K261" s="35">
        <f t="shared" ref="K261:U261" si="264">K76</f>
        <v>-445.55900000000003</v>
      </c>
      <c r="L261" s="35">
        <f t="shared" si="264"/>
        <v>-233.41652064570724</v>
      </c>
      <c r="M261" s="35">
        <f t="shared" si="264"/>
        <v>-233.41652064570724</v>
      </c>
      <c r="N261" s="35">
        <f t="shared" si="264"/>
        <v>-233.41652064570724</v>
      </c>
      <c r="O261" s="35">
        <f t="shared" si="264"/>
        <v>-233.41652064570724</v>
      </c>
      <c r="P261" s="35">
        <f t="shared" si="264"/>
        <v>-233.41652064570724</v>
      </c>
      <c r="Q261" s="35">
        <f t="shared" si="264"/>
        <v>-233.41652064570724</v>
      </c>
      <c r="R261" s="35">
        <f t="shared" si="264"/>
        <v>-233.41652064570724</v>
      </c>
      <c r="S261" s="35">
        <f t="shared" si="264"/>
        <v>-233.41652064570724</v>
      </c>
      <c r="T261" s="35">
        <f t="shared" si="264"/>
        <v>-233.41652064570724</v>
      </c>
      <c r="U261" s="35">
        <f t="shared" si="264"/>
        <v>-233.41652064570724</v>
      </c>
      <c r="Z261" s="35">
        <f t="shared" ref="Z261:AD261" si="265">Z255-SUM(Z256:Z260)</f>
        <v>23.591999999999985</v>
      </c>
      <c r="AA261" s="35">
        <f t="shared" si="265"/>
        <v>-192.66799999999967</v>
      </c>
      <c r="AB261" s="35">
        <f t="shared" si="265"/>
        <v>-104.30700000000013</v>
      </c>
      <c r="AC261" s="35">
        <f t="shared" si="265"/>
        <v>-32.120999999999981</v>
      </c>
      <c r="AD261" s="35">
        <f t="shared" si="265"/>
        <v>-51.815000000000055</v>
      </c>
    </row>
    <row r="263" spans="2:30" s="6" customFormat="1">
      <c r="B263" s="6" t="s">
        <v>197</v>
      </c>
      <c r="F263" s="6">
        <f>F236+F248+F255</f>
        <v>-115.33999999999992</v>
      </c>
      <c r="G263" s="6">
        <f t="shared" ref="G263:U263" si="266">G236+G248+G255</f>
        <v>290.91999999999996</v>
      </c>
      <c r="H263" s="6">
        <f t="shared" si="266"/>
        <v>-60.196000000000126</v>
      </c>
      <c r="I263" s="6">
        <f t="shared" si="266"/>
        <v>3860.7160000000003</v>
      </c>
      <c r="J263" s="6">
        <f t="shared" si="266"/>
        <v>-1935.5099999999995</v>
      </c>
      <c r="K263" s="6">
        <f t="shared" si="266"/>
        <v>-677.79631691197778</v>
      </c>
      <c r="L263" s="6">
        <f t="shared" si="266"/>
        <v>-526.46515593836284</v>
      </c>
      <c r="M263" s="6">
        <f t="shared" si="266"/>
        <v>136.75914017271998</v>
      </c>
      <c r="N263" s="6">
        <f t="shared" si="266"/>
        <v>563.32328578461784</v>
      </c>
      <c r="O263" s="6">
        <f t="shared" si="266"/>
        <v>1054.9756697020375</v>
      </c>
      <c r="P263" s="6">
        <f t="shared" si="266"/>
        <v>2186.5641686337367</v>
      </c>
      <c r="Q263" s="6">
        <f t="shared" si="266"/>
        <v>4030.9336314261445</v>
      </c>
      <c r="R263" s="6">
        <f t="shared" si="266"/>
        <v>6087.6806321864806</v>
      </c>
      <c r="S263" s="6">
        <f t="shared" si="266"/>
        <v>7438.6955925381362</v>
      </c>
      <c r="T263" s="6">
        <f t="shared" si="266"/>
        <v>8747.8835844681416</v>
      </c>
      <c r="U263" s="6">
        <f t="shared" si="266"/>
        <v>10511.925402604147</v>
      </c>
      <c r="X263" s="6">
        <f t="shared" ref="X263:AD263" si="267">X236+X248+X255</f>
        <v>388.93799999999999</v>
      </c>
      <c r="Y263" s="6">
        <f>Y236+Y248+Y255</f>
        <v>-449.13400000000013</v>
      </c>
      <c r="Z263" s="6">
        <f t="shared" si="267"/>
        <v>230.24</v>
      </c>
      <c r="AA263" s="6">
        <f>AA236+AA248+AA255</f>
        <v>3630.476000000001</v>
      </c>
      <c r="AB263" s="6">
        <f t="shared" si="267"/>
        <v>-1108.3339999999998</v>
      </c>
      <c r="AC263" s="6">
        <f>AC236+AC248+AC255</f>
        <v>-827.17599999999936</v>
      </c>
      <c r="AD263" s="6">
        <f t="shared" si="267"/>
        <v>21.56899999999996</v>
      </c>
    </row>
    <row r="264" spans="2:30">
      <c r="B264" s="1" t="s">
        <v>198</v>
      </c>
      <c r="F264" s="2">
        <v>-5.2999999999999999E-2</v>
      </c>
      <c r="G264" s="2">
        <v>-0.16</v>
      </c>
      <c r="H264" s="2">
        <v>-32.341000000000001</v>
      </c>
      <c r="I264" s="2">
        <v>-24.125</v>
      </c>
      <c r="J264" s="2">
        <v>38.848999999999997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X264" s="2">
        <v>-16.048999999999999</v>
      </c>
      <c r="Y264" s="1">
        <f>H264-X264</f>
        <v>-16.292000000000002</v>
      </c>
      <c r="Z264" s="2">
        <v>18.831</v>
      </c>
      <c r="AA264" s="1">
        <f>I264-Z264</f>
        <v>-42.956000000000003</v>
      </c>
      <c r="AB264" s="2">
        <v>-7.585</v>
      </c>
      <c r="AC264" s="1">
        <f>J264-AB264</f>
        <v>46.433999999999997</v>
      </c>
      <c r="AD264" s="2">
        <v>4.1289999999999996</v>
      </c>
    </row>
    <row r="265" spans="2:30">
      <c r="B265" s="1" t="s">
        <v>199</v>
      </c>
      <c r="F265" s="2">
        <v>-24.14</v>
      </c>
      <c r="G265" s="2">
        <v>-41.478999999999999</v>
      </c>
      <c r="H265" s="2">
        <v>-32.307000000000002</v>
      </c>
      <c r="I265" s="2">
        <v>0</v>
      </c>
      <c r="J265" s="2">
        <v>0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X265" s="2">
        <v>-28.460999999999999</v>
      </c>
      <c r="Y265" s="1">
        <f>H265-X265</f>
        <v>-3.8460000000000036</v>
      </c>
      <c r="Z265" s="2">
        <v>0</v>
      </c>
      <c r="AA265" s="1">
        <f>I265-Z265</f>
        <v>0</v>
      </c>
      <c r="AB265" s="2">
        <v>0</v>
      </c>
      <c r="AC265" s="1">
        <f>J265-AB265</f>
        <v>0</v>
      </c>
      <c r="AD265" s="2">
        <v>0</v>
      </c>
    </row>
    <row r="266" spans="2:30">
      <c r="B266" s="1" t="s">
        <v>112</v>
      </c>
      <c r="F266" s="2">
        <v>297.12799999999999</v>
      </c>
      <c r="G266" s="1">
        <f>F267</f>
        <v>157.595</v>
      </c>
      <c r="H266" s="1">
        <f>G267</f>
        <v>406.87599999999998</v>
      </c>
      <c r="I266" s="1">
        <f t="shared" ref="I266:U266" si="268">H267</f>
        <v>282.03199999999998</v>
      </c>
      <c r="J266" s="1">
        <f t="shared" si="268"/>
        <v>4118.6229999999996</v>
      </c>
      <c r="K266" s="1">
        <f t="shared" si="268"/>
        <v>2221.962</v>
      </c>
      <c r="L266" s="1">
        <f t="shared" si="268"/>
        <v>2920.8679999999999</v>
      </c>
      <c r="M266" s="1">
        <f t="shared" si="268"/>
        <v>2394.4028440616371</v>
      </c>
      <c r="N266" s="1">
        <f t="shared" si="268"/>
        <v>2531.1619842343571</v>
      </c>
      <c r="O266" s="1">
        <f t="shared" si="268"/>
        <v>3094.4852700189749</v>
      </c>
      <c r="P266" s="1">
        <f t="shared" si="268"/>
        <v>4149.4609397210124</v>
      </c>
      <c r="Q266" s="1">
        <f t="shared" si="268"/>
        <v>6336.0251083547491</v>
      </c>
      <c r="R266" s="1">
        <f t="shared" si="268"/>
        <v>10366.958739780894</v>
      </c>
      <c r="S266" s="1">
        <f t="shared" si="268"/>
        <v>16454.639371967372</v>
      </c>
      <c r="T266" s="1">
        <f t="shared" si="268"/>
        <v>23893.33496450551</v>
      </c>
      <c r="U266" s="1">
        <f t="shared" si="268"/>
        <v>32641.218548973651</v>
      </c>
      <c r="Z266" s="1">
        <f t="shared" ref="Z266:AD266" si="269">Y267</f>
        <v>282.03199999999998</v>
      </c>
      <c r="AA266" s="1">
        <f t="shared" si="269"/>
        <v>531.10299999999995</v>
      </c>
      <c r="AB266" s="1">
        <f t="shared" si="269"/>
        <v>4118.6229999999996</v>
      </c>
      <c r="AC266" s="1">
        <f t="shared" si="269"/>
        <v>3002.7040000000002</v>
      </c>
      <c r="AD266" s="1">
        <f t="shared" si="269"/>
        <v>2221.962</v>
      </c>
    </row>
    <row r="267" spans="2:30">
      <c r="B267" s="1" t="s">
        <v>200</v>
      </c>
      <c r="F267" s="1">
        <f t="shared" ref="F267:K267" si="270">F173</f>
        <v>157.595</v>
      </c>
      <c r="G267" s="1">
        <f t="shared" si="270"/>
        <v>406.87599999999998</v>
      </c>
      <c r="H267" s="1">
        <f t="shared" si="270"/>
        <v>282.03199999999998</v>
      </c>
      <c r="I267" s="1">
        <f t="shared" si="270"/>
        <v>4118.6229999999996</v>
      </c>
      <c r="J267" s="1">
        <f t="shared" si="270"/>
        <v>2221.962</v>
      </c>
      <c r="K267" s="1">
        <f t="shared" si="270"/>
        <v>2920.8679999999999</v>
      </c>
      <c r="L267" s="1">
        <f t="shared" ref="L267:U267" si="271">L266+L264+L263</f>
        <v>2394.4028440616371</v>
      </c>
      <c r="M267" s="1">
        <f t="shared" si="271"/>
        <v>2531.1619842343571</v>
      </c>
      <c r="N267" s="1">
        <f t="shared" si="271"/>
        <v>3094.4852700189749</v>
      </c>
      <c r="O267" s="1">
        <f t="shared" si="271"/>
        <v>4149.4609397210124</v>
      </c>
      <c r="P267" s="1">
        <f t="shared" si="271"/>
        <v>6336.0251083547491</v>
      </c>
      <c r="Q267" s="1">
        <f t="shared" si="271"/>
        <v>10366.958739780894</v>
      </c>
      <c r="R267" s="1">
        <f t="shared" si="271"/>
        <v>16454.639371967372</v>
      </c>
      <c r="S267" s="1">
        <f t="shared" si="271"/>
        <v>23893.33496450551</v>
      </c>
      <c r="T267" s="1">
        <f t="shared" si="271"/>
        <v>32641.218548973651</v>
      </c>
      <c r="U267" s="1">
        <f t="shared" si="271"/>
        <v>43153.143951577797</v>
      </c>
      <c r="Y267" s="1">
        <f t="shared" ref="Y267:AD267" si="272">Y173</f>
        <v>282.03199999999998</v>
      </c>
      <c r="Z267" s="1">
        <f t="shared" si="272"/>
        <v>531.10299999999995</v>
      </c>
      <c r="AA267" s="1">
        <f t="shared" si="272"/>
        <v>4118.6229999999996</v>
      </c>
      <c r="AB267" s="1">
        <f t="shared" si="272"/>
        <v>3002.7040000000002</v>
      </c>
      <c r="AC267" s="1">
        <f t="shared" si="272"/>
        <v>2221.962</v>
      </c>
      <c r="AD267" s="1">
        <f t="shared" si="272"/>
        <v>2247.66</v>
      </c>
    </row>
    <row r="268" spans="2:30" s="29" customFormat="1">
      <c r="C268" s="29" t="s">
        <v>161</v>
      </c>
      <c r="F268" s="29">
        <f t="shared" ref="F268:G268" si="273">F267-F266-F265-F263-F264</f>
        <v>-6.8327288271774478E-14</v>
      </c>
      <c r="G268" s="29">
        <f t="shared" si="273"/>
        <v>3.1835645231126364E-14</v>
      </c>
      <c r="H268" s="29">
        <f>H267-H266-H265-H263-H264</f>
        <v>1.3500311979441904E-13</v>
      </c>
      <c r="I268" s="29">
        <f t="shared" ref="I268:K268" si="274">I267-I266-I265-I263-I264</f>
        <v>-9.0949470177292824E-13</v>
      </c>
      <c r="J268" s="29">
        <f t="shared" si="274"/>
        <v>-6.3948846218409017E-14</v>
      </c>
      <c r="K268" s="29">
        <f t="shared" si="274"/>
        <v>1376.7023169119777</v>
      </c>
      <c r="Z268" s="29">
        <f t="shared" ref="Z268:AD268" si="275">Z267-Z266-Z265-Z263-Z264</f>
        <v>-3.907985046680551E-14</v>
      </c>
      <c r="AA268" s="29">
        <f t="shared" si="275"/>
        <v>-1.4921397450962104E-12</v>
      </c>
      <c r="AB268" s="29">
        <f t="shared" si="275"/>
        <v>4.1833203567875898E-13</v>
      </c>
      <c r="AC268" s="29">
        <f t="shared" si="275"/>
        <v>-8.2422957348171622E-13</v>
      </c>
      <c r="AD268" s="29">
        <f t="shared" si="275"/>
        <v>-9.4146912488213275E-14</v>
      </c>
    </row>
    <row r="270" spans="2:30" s="6" customFormat="1">
      <c r="B270" s="6" t="s">
        <v>201</v>
      </c>
      <c r="F270" s="6">
        <f t="shared" ref="F270:I270" si="276">F245+F249+F250</f>
        <v>229.55200000000002</v>
      </c>
      <c r="G270" s="6">
        <f t="shared" si="276"/>
        <v>984.36899999999991</v>
      </c>
      <c r="H270" s="6">
        <f t="shared" si="276"/>
        <v>156.6389999999999</v>
      </c>
      <c r="I270" s="6">
        <f t="shared" si="276"/>
        <v>-174.16199999999975</v>
      </c>
      <c r="J270" s="6">
        <f>J245+J249+J250</f>
        <v>-1062.4949999999994</v>
      </c>
      <c r="K270" s="6">
        <f t="shared" ref="K270:U270" si="277">K245+K249+K250</f>
        <v>-5259.3873169119779</v>
      </c>
      <c r="L270" s="6">
        <f t="shared" si="277"/>
        <v>-250.26733529265584</v>
      </c>
      <c r="M270" s="6">
        <f t="shared" si="277"/>
        <v>1476.478599658145</v>
      </c>
      <c r="N270" s="6">
        <f t="shared" si="277"/>
        <v>2797.4058297271731</v>
      </c>
      <c r="O270" s="6">
        <f t="shared" si="277"/>
        <v>3702.9776427266552</v>
      </c>
      <c r="P270" s="6">
        <f t="shared" si="277"/>
        <v>5236.7619139513045</v>
      </c>
      <c r="Q270" s="6">
        <f t="shared" si="277"/>
        <v>7635.3549184121184</v>
      </c>
      <c r="R270" s="6">
        <f t="shared" si="277"/>
        <v>10551.984640150633</v>
      </c>
      <c r="S270" s="6">
        <f t="shared" si="277"/>
        <v>12724.038457577892</v>
      </c>
      <c r="T270" s="6">
        <f t="shared" si="277"/>
        <v>14762.774634709596</v>
      </c>
      <c r="U270" s="6">
        <f t="shared" si="277"/>
        <v>17225.232910986644</v>
      </c>
      <c r="X270" s="6">
        <f t="shared" ref="X270:AD270" si="278">X236+X249+X250</f>
        <v>305.01199999999994</v>
      </c>
      <c r="Y270" s="6">
        <f t="shared" si="278"/>
        <v>-148.37300000000008</v>
      </c>
      <c r="Z270" s="6">
        <f t="shared" si="278"/>
        <v>76.310999999999993</v>
      </c>
      <c r="AA270" s="6">
        <f t="shared" si="278"/>
        <v>-250.47299999999976</v>
      </c>
      <c r="AB270" s="6">
        <f t="shared" si="278"/>
        <v>-316.30300000000005</v>
      </c>
      <c r="AC270" s="6">
        <f t="shared" si="278"/>
        <v>-47.137999999999138</v>
      </c>
      <c r="AD270" s="6">
        <f t="shared" si="278"/>
        <v>-1476.6380000000001</v>
      </c>
    </row>
    <row r="271" spans="2:30" s="12" customFormat="1">
      <c r="C271" s="12" t="s">
        <v>202</v>
      </c>
      <c r="F271" s="12">
        <f t="shared" ref="F271:G271" si="279">F270/F$5</f>
        <v>3.9875747870040418E-2</v>
      </c>
      <c r="G271" s="12">
        <f t="shared" si="279"/>
        <v>0.12607691958923553</v>
      </c>
      <c r="H271" s="12">
        <f>H270/H$5</f>
        <v>1.47256272109969E-2</v>
      </c>
      <c r="I271" s="12">
        <f t="shared" ref="I271:U271" si="280">I270/I$5</f>
        <v>-1.0263478911668842E-2</v>
      </c>
      <c r="J271" s="12">
        <f t="shared" si="280"/>
        <v>-4.0009915727612241E-2</v>
      </c>
      <c r="K271" s="12">
        <f t="shared" si="280"/>
        <v>-0.18380304910653719</v>
      </c>
      <c r="L271" s="12">
        <f t="shared" si="280"/>
        <v>-3.9015043270983801E-3</v>
      </c>
      <c r="M271" s="12">
        <f t="shared" si="280"/>
        <v>1.7267385020567762E-2</v>
      </c>
      <c r="N271" s="12">
        <f t="shared" si="280"/>
        <v>2.7563614855097864E-2</v>
      </c>
      <c r="O271" s="12">
        <f t="shared" si="280"/>
        <v>3.159732385285962E-2</v>
      </c>
      <c r="P271" s="12">
        <f t="shared" si="280"/>
        <v>3.885195890117147E-2</v>
      </c>
      <c r="Q271" s="12">
        <f t="shared" si="280"/>
        <v>4.9185180696858538E-2</v>
      </c>
      <c r="R271" s="12">
        <f t="shared" si="280"/>
        <v>6.039533103124798E-2</v>
      </c>
      <c r="S271" s="12">
        <f t="shared" si="280"/>
        <v>6.5740575908343757E-2</v>
      </c>
      <c r="T271" s="12">
        <f t="shared" si="280"/>
        <v>6.9406741039545999E-2</v>
      </c>
      <c r="U271" s="12">
        <f t="shared" si="280"/>
        <v>7.3668810187533046E-2</v>
      </c>
      <c r="X271" s="12">
        <f t="shared" ref="X271:AD271" si="281">X270/X$5</f>
        <v>6.4131167256965577E-2</v>
      </c>
      <c r="Y271" s="12">
        <f t="shared" si="281"/>
        <v>-2.5228762281918119E-2</v>
      </c>
      <c r="Z271" s="12">
        <f t="shared" si="281"/>
        <v>1.0392850313865141E-2</v>
      </c>
      <c r="AA271" s="12">
        <f t="shared" si="281"/>
        <v>-2.6019232830856942E-2</v>
      </c>
      <c r="AB271" s="12">
        <f t="shared" si="281"/>
        <v>-2.7046867509914387E-2</v>
      </c>
      <c r="AC271" s="12">
        <f t="shared" si="281"/>
        <v>-3.1718910884919213E-3</v>
      </c>
      <c r="AD271" s="12">
        <f t="shared" si="281"/>
        <v>-0.15128549920829704</v>
      </c>
    </row>
    <row r="272" spans="2:30" s="12" customFormat="1">
      <c r="C272" s="12" t="s">
        <v>203</v>
      </c>
    </row>
    <row r="275" spans="2:31" s="4" customFormat="1">
      <c r="B275" s="4" t="s">
        <v>204</v>
      </c>
      <c r="C275" s="4" t="s">
        <v>3</v>
      </c>
      <c r="F275" s="5" t="s">
        <v>4</v>
      </c>
      <c r="G275" s="5" t="s">
        <v>5</v>
      </c>
      <c r="H275" s="5" t="s">
        <v>6</v>
      </c>
      <c r="I275" s="5" t="s">
        <v>7</v>
      </c>
      <c r="J275" s="5" t="s">
        <v>8</v>
      </c>
      <c r="K275" s="5" t="s">
        <v>177</v>
      </c>
      <c r="L275" s="5" t="s">
        <v>10</v>
      </c>
      <c r="M275" s="5" t="s">
        <v>11</v>
      </c>
      <c r="N275" s="5" t="s">
        <v>12</v>
      </c>
      <c r="O275" s="5" t="s">
        <v>13</v>
      </c>
      <c r="P275" s="5" t="s">
        <v>14</v>
      </c>
      <c r="Q275" s="5" t="s">
        <v>15</v>
      </c>
      <c r="R275" s="5" t="s">
        <v>16</v>
      </c>
      <c r="S275" s="5" t="s">
        <v>17</v>
      </c>
      <c r="T275" s="5" t="s">
        <v>18</v>
      </c>
      <c r="U275" s="5" t="s">
        <v>19</v>
      </c>
      <c r="X275" s="5"/>
      <c r="Y275" s="5"/>
      <c r="Z275" s="5"/>
      <c r="AA275" s="5"/>
      <c r="AB275" s="5"/>
      <c r="AC275" s="5"/>
      <c r="AD275" s="5"/>
      <c r="AE275" s="5"/>
    </row>
    <row r="280" spans="2:31" s="4" customFormat="1">
      <c r="B280" s="4" t="s">
        <v>205</v>
      </c>
      <c r="C280" s="4" t="s">
        <v>3</v>
      </c>
      <c r="F280" s="5" t="s">
        <v>4</v>
      </c>
      <c r="G280" s="5" t="s">
        <v>5</v>
      </c>
      <c r="H280" s="5" t="s">
        <v>6</v>
      </c>
      <c r="I280" s="5" t="s">
        <v>7</v>
      </c>
      <c r="J280" s="5" t="s">
        <v>8</v>
      </c>
      <c r="K280" s="5" t="s">
        <v>177</v>
      </c>
      <c r="L280" s="5" t="s">
        <v>10</v>
      </c>
      <c r="M280" s="5" t="s">
        <v>11</v>
      </c>
      <c r="N280" s="5" t="s">
        <v>12</v>
      </c>
      <c r="O280" s="5" t="s">
        <v>13</v>
      </c>
      <c r="P280" s="5" t="s">
        <v>14</v>
      </c>
      <c r="Q280" s="5" t="s">
        <v>15</v>
      </c>
      <c r="R280" s="5" t="s">
        <v>16</v>
      </c>
      <c r="S280" s="5" t="s">
        <v>17</v>
      </c>
      <c r="T280" s="5" t="s">
        <v>18</v>
      </c>
      <c r="U280" s="5" t="s">
        <v>19</v>
      </c>
      <c r="X280" s="5" t="s">
        <v>20</v>
      </c>
      <c r="Y280" s="5" t="s">
        <v>21</v>
      </c>
      <c r="Z280" s="5" t="s">
        <v>22</v>
      </c>
      <c r="AA280" s="5" t="s">
        <v>23</v>
      </c>
      <c r="AB280" s="5" t="s">
        <v>24</v>
      </c>
      <c r="AC280" s="5" t="s">
        <v>25</v>
      </c>
      <c r="AD280" s="5" t="s">
        <v>26</v>
      </c>
      <c r="AE280" s="5" t="s">
        <v>27</v>
      </c>
    </row>
    <row r="281" spans="2:31">
      <c r="B281" s="36" t="s">
        <v>206</v>
      </c>
      <c r="C281" s="1" t="s">
        <v>207</v>
      </c>
    </row>
    <row r="282" spans="2:31">
      <c r="C282" s="1" t="s">
        <v>208</v>
      </c>
      <c r="F282" s="2">
        <v>70.737499999999997</v>
      </c>
      <c r="G282" s="2">
        <v>71.877900000000011</v>
      </c>
      <c r="H282" s="2">
        <v>72.917000000000002</v>
      </c>
      <c r="I282" s="2">
        <v>73.710800000000006</v>
      </c>
      <c r="J282" s="2">
        <v>74.564700000000002</v>
      </c>
      <c r="K282" s="1">
        <f>J282*(1+K283)</f>
        <v>75.310347000000007</v>
      </c>
      <c r="L282" s="1">
        <f t="shared" ref="L282:P282" si="282">K282*(1+L283)</f>
        <v>76.063450470000006</v>
      </c>
      <c r="M282" s="1">
        <f t="shared" si="282"/>
        <v>76.824084974700014</v>
      </c>
      <c r="N282" s="1">
        <f t="shared" si="282"/>
        <v>77.592325824447016</v>
      </c>
      <c r="O282" s="1">
        <f t="shared" si="282"/>
        <v>78.368249082691491</v>
      </c>
      <c r="P282" s="1">
        <f t="shared" si="282"/>
        <v>79.151931573518411</v>
      </c>
      <c r="Q282" s="1">
        <f>P282*(1+Q283)</f>
        <v>79.943450889253597</v>
      </c>
      <c r="R282" s="1">
        <f t="shared" ref="R282:U282" si="283">Q282*(1+R283)</f>
        <v>80.742885398146129</v>
      </c>
      <c r="S282" s="1">
        <f t="shared" si="283"/>
        <v>81.550314252127592</v>
      </c>
      <c r="T282" s="1">
        <f t="shared" si="283"/>
        <v>82.365817394648872</v>
      </c>
      <c r="U282" s="1">
        <f t="shared" si="283"/>
        <v>83.189475568595356</v>
      </c>
    </row>
    <row r="283" spans="2:31" s="8" customFormat="1">
      <c r="D283" s="8" t="s">
        <v>30</v>
      </c>
      <c r="G283" s="8">
        <f t="shared" ref="G283:I283" si="284">G282/F282-1</f>
        <v>1.6121576250221148E-2</v>
      </c>
      <c r="H283" s="8">
        <f t="shared" si="284"/>
        <v>1.4456460191519138E-2</v>
      </c>
      <c r="I283" s="8">
        <f t="shared" si="284"/>
        <v>1.0886350233827669E-2</v>
      </c>
      <c r="J283" s="8">
        <f>J282/I282-1</f>
        <v>1.1584462521095906E-2</v>
      </c>
      <c r="K283" s="9">
        <v>0.01</v>
      </c>
      <c r="L283" s="9">
        <v>0.01</v>
      </c>
      <c r="M283" s="9">
        <v>0.01</v>
      </c>
      <c r="N283" s="9">
        <v>0.01</v>
      </c>
      <c r="O283" s="9">
        <v>0.01</v>
      </c>
      <c r="P283" s="9">
        <v>0.01</v>
      </c>
      <c r="Q283" s="9">
        <v>0.01</v>
      </c>
      <c r="R283" s="9">
        <v>0.01</v>
      </c>
      <c r="S283" s="9">
        <v>0.01</v>
      </c>
      <c r="T283" s="9">
        <v>0.01</v>
      </c>
      <c r="U283" s="9">
        <v>0.01</v>
      </c>
    </row>
    <row r="284" spans="2:31">
      <c r="C284" s="1" t="s">
        <v>209</v>
      </c>
      <c r="F284" s="2">
        <v>246.26930000000007</v>
      </c>
      <c r="G284" s="2">
        <v>249.62579999999997</v>
      </c>
      <c r="H284" s="2">
        <v>253.40490000000003</v>
      </c>
      <c r="I284" s="2">
        <v>256.87750000000005</v>
      </c>
      <c r="J284" s="2">
        <v>261.62130000000002</v>
      </c>
      <c r="K284" s="1">
        <f>J284*(1+K285)</f>
        <v>265.54561949999999</v>
      </c>
      <c r="L284" s="1">
        <f t="shared" ref="L284:P284" si="285">K284*(1+L285)</f>
        <v>269.52880379249996</v>
      </c>
      <c r="M284" s="1">
        <f t="shared" si="285"/>
        <v>273.57173584938744</v>
      </c>
      <c r="N284" s="1">
        <f t="shared" si="285"/>
        <v>277.6753118871282</v>
      </c>
      <c r="O284" s="1">
        <f t="shared" si="285"/>
        <v>281.84044156543507</v>
      </c>
      <c r="P284" s="1">
        <f t="shared" si="285"/>
        <v>286.06804818891658</v>
      </c>
      <c r="Q284" s="1">
        <f>P284*(1+Q285)</f>
        <v>290.35906891175028</v>
      </c>
      <c r="R284" s="1">
        <f t="shared" ref="R284:U284" si="286">Q284*(1+R285)</f>
        <v>294.7144549454265</v>
      </c>
      <c r="S284" s="1">
        <f t="shared" si="286"/>
        <v>299.13517176960784</v>
      </c>
      <c r="T284" s="1">
        <f t="shared" si="286"/>
        <v>303.62219934615194</v>
      </c>
      <c r="U284" s="1">
        <f t="shared" si="286"/>
        <v>308.17653233634417</v>
      </c>
    </row>
    <row r="285" spans="2:31" s="8" customFormat="1">
      <c r="D285" s="8" t="s">
        <v>30</v>
      </c>
      <c r="G285" s="8">
        <f t="shared" ref="G285:I285" si="287">G284/F284-1</f>
        <v>1.3629388640808537E-2</v>
      </c>
      <c r="H285" s="8">
        <f t="shared" si="287"/>
        <v>1.5139060145225702E-2</v>
      </c>
      <c r="I285" s="8">
        <f t="shared" si="287"/>
        <v>1.3703760266672083E-2</v>
      </c>
      <c r="J285" s="8">
        <f>J284/I284-1</f>
        <v>1.8467168202742412E-2</v>
      </c>
      <c r="K285" s="9">
        <v>1.4999999999999999E-2</v>
      </c>
      <c r="L285" s="9">
        <v>1.4999999999999999E-2</v>
      </c>
      <c r="M285" s="9">
        <v>1.4999999999999999E-2</v>
      </c>
      <c r="N285" s="9">
        <v>1.4999999999999999E-2</v>
      </c>
      <c r="O285" s="9">
        <v>1.4999999999999999E-2</v>
      </c>
      <c r="P285" s="9">
        <v>1.4999999999999999E-2</v>
      </c>
      <c r="Q285" s="9">
        <v>1.4999999999999999E-2</v>
      </c>
      <c r="R285" s="9">
        <v>1.4999999999999999E-2</v>
      </c>
      <c r="S285" s="9">
        <v>1.4999999999999999E-2</v>
      </c>
      <c r="T285" s="9">
        <v>1.4999999999999999E-2</v>
      </c>
      <c r="U285" s="9">
        <v>1.4999999999999999E-2</v>
      </c>
    </row>
    <row r="287" spans="2:31" s="24" customFormat="1">
      <c r="B287" s="37" t="s">
        <v>210</v>
      </c>
      <c r="C287" s="37"/>
      <c r="D287" s="37"/>
      <c r="E287" s="37"/>
    </row>
    <row r="288" spans="2:31" s="6" customFormat="1">
      <c r="B288" s="6" t="s">
        <v>211</v>
      </c>
      <c r="F288" s="6">
        <f t="shared" ref="F288:I288" si="288">F289+F290+F291+F292</f>
        <v>146</v>
      </c>
      <c r="G288" s="6">
        <f t="shared" si="288"/>
        <v>176</v>
      </c>
      <c r="H288" s="6">
        <f t="shared" si="288"/>
        <v>273</v>
      </c>
      <c r="I288" s="6">
        <f t="shared" si="288"/>
        <v>466</v>
      </c>
      <c r="J288" s="6">
        <f>J289+J290+J291+J292</f>
        <v>768</v>
      </c>
      <c r="K288" s="6">
        <f>K289+K290+K291+K292</f>
        <v>1298</v>
      </c>
      <c r="L288" s="6">
        <f t="shared" ref="L288:U288" si="289">L321</f>
        <v>1698</v>
      </c>
      <c r="M288" s="6">
        <f t="shared" si="289"/>
        <v>2098</v>
      </c>
      <c r="N288" s="6">
        <f t="shared" si="289"/>
        <v>2398</v>
      </c>
      <c r="O288" s="6">
        <f t="shared" si="289"/>
        <v>2698</v>
      </c>
      <c r="P288" s="6">
        <f t="shared" si="289"/>
        <v>2998</v>
      </c>
      <c r="Q288" s="6">
        <f t="shared" si="289"/>
        <v>3298</v>
      </c>
      <c r="R288" s="6">
        <f t="shared" si="289"/>
        <v>3498</v>
      </c>
      <c r="S288" s="6">
        <f t="shared" si="289"/>
        <v>3698</v>
      </c>
      <c r="T288" s="6">
        <f t="shared" si="289"/>
        <v>3898</v>
      </c>
      <c r="U288" s="6">
        <f t="shared" si="289"/>
        <v>4098</v>
      </c>
      <c r="X288" s="6">
        <f t="shared" ref="X288:AB288" si="290">X289+X290+X291+X292</f>
        <v>203</v>
      </c>
      <c r="Y288" s="6">
        <f t="shared" si="290"/>
        <v>273</v>
      </c>
      <c r="Z288" s="6">
        <f t="shared" si="290"/>
        <v>341</v>
      </c>
      <c r="AA288" s="6">
        <f t="shared" si="290"/>
        <v>466</v>
      </c>
      <c r="AB288" s="6">
        <f t="shared" si="290"/>
        <v>593</v>
      </c>
      <c r="AC288" s="6">
        <f>AC289+AC290+AC291+AC292</f>
        <v>768</v>
      </c>
      <c r="AD288" s="6">
        <f>AD289+AD290+AD291+AD292</f>
        <v>935</v>
      </c>
      <c r="AE288" s="6">
        <f>AE289+AE290+AE291+AE292</f>
        <v>1298</v>
      </c>
    </row>
    <row r="289" spans="3:31">
      <c r="C289" s="1" t="s">
        <v>208</v>
      </c>
      <c r="F289" s="2">
        <v>50</v>
      </c>
      <c r="G289" s="2">
        <v>55</v>
      </c>
      <c r="H289" s="2">
        <v>65</v>
      </c>
      <c r="I289" s="2">
        <v>106</v>
      </c>
      <c r="J289" s="2">
        <v>190</v>
      </c>
      <c r="K289" s="2">
        <v>255</v>
      </c>
      <c r="L289" s="1">
        <f t="shared" ref="L289:U292" si="291">K289+L311</f>
        <v>300.05660377358492</v>
      </c>
      <c r="M289" s="1">
        <f t="shared" si="291"/>
        <v>341.11320754716985</v>
      </c>
      <c r="N289" s="1">
        <f t="shared" si="291"/>
        <v>368.90566037735852</v>
      </c>
      <c r="O289" s="1">
        <f t="shared" si="291"/>
        <v>393.69811320754718</v>
      </c>
      <c r="P289" s="1">
        <f t="shared" si="291"/>
        <v>415.49056603773585</v>
      </c>
      <c r="Q289" s="1">
        <f t="shared" si="291"/>
        <v>437.28301886792451</v>
      </c>
      <c r="R289" s="1">
        <f t="shared" si="291"/>
        <v>451.81132075471697</v>
      </c>
      <c r="S289" s="1">
        <f t="shared" si="291"/>
        <v>466.33962264150944</v>
      </c>
      <c r="T289" s="1">
        <f t="shared" si="291"/>
        <v>480.8679245283019</v>
      </c>
      <c r="U289" s="1">
        <f t="shared" si="291"/>
        <v>495.39622641509436</v>
      </c>
      <c r="X289" s="2">
        <v>57</v>
      </c>
      <c r="Y289" s="2">
        <v>65</v>
      </c>
      <c r="Z289" s="2">
        <v>78</v>
      </c>
      <c r="AA289" s="2">
        <v>106</v>
      </c>
      <c r="AB289" s="2">
        <v>146</v>
      </c>
      <c r="AC289" s="2">
        <v>190</v>
      </c>
      <c r="AD289" s="2">
        <v>212</v>
      </c>
      <c r="AE289" s="2">
        <v>255</v>
      </c>
    </row>
    <row r="290" spans="3:31">
      <c r="C290" s="1" t="s">
        <v>209</v>
      </c>
      <c r="F290" s="2">
        <v>71</v>
      </c>
      <c r="G290" s="2">
        <v>83</v>
      </c>
      <c r="H290" s="2">
        <v>120</v>
      </c>
      <c r="I290" s="2">
        <v>207</v>
      </c>
      <c r="J290" s="2">
        <v>332</v>
      </c>
      <c r="K290" s="2">
        <v>499</v>
      </c>
      <c r="L290" s="1">
        <f t="shared" si="291"/>
        <v>639</v>
      </c>
      <c r="M290" s="1">
        <f t="shared" si="291"/>
        <v>779</v>
      </c>
      <c r="N290" s="1">
        <f t="shared" si="291"/>
        <v>884</v>
      </c>
      <c r="O290" s="1">
        <f t="shared" si="291"/>
        <v>989</v>
      </c>
      <c r="P290" s="1">
        <f t="shared" si="291"/>
        <v>1094</v>
      </c>
      <c r="Q290" s="1">
        <f t="shared" si="291"/>
        <v>1199</v>
      </c>
      <c r="R290" s="1">
        <f t="shared" si="291"/>
        <v>1269</v>
      </c>
      <c r="S290" s="1">
        <f t="shared" si="291"/>
        <v>1339</v>
      </c>
      <c r="T290" s="1">
        <f t="shared" si="291"/>
        <v>1409</v>
      </c>
      <c r="U290" s="1">
        <f t="shared" si="291"/>
        <v>1479</v>
      </c>
      <c r="X290" s="2">
        <v>95</v>
      </c>
      <c r="Y290" s="2">
        <v>120</v>
      </c>
      <c r="Z290" s="2">
        <v>153</v>
      </c>
      <c r="AA290" s="2">
        <v>207</v>
      </c>
      <c r="AB290" s="2">
        <v>257</v>
      </c>
      <c r="AC290" s="2">
        <v>332</v>
      </c>
      <c r="AD290" s="2">
        <v>389</v>
      </c>
      <c r="AE290" s="2">
        <v>499</v>
      </c>
    </row>
    <row r="291" spans="3:31">
      <c r="C291" s="1" t="s">
        <v>212</v>
      </c>
      <c r="F291" s="2">
        <v>18</v>
      </c>
      <c r="G291" s="2">
        <v>29</v>
      </c>
      <c r="H291" s="2">
        <v>69</v>
      </c>
      <c r="I291" s="2">
        <v>117</v>
      </c>
      <c r="J291" s="2">
        <v>194</v>
      </c>
      <c r="K291" s="2">
        <v>451</v>
      </c>
      <c r="L291" s="1">
        <f t="shared" si="291"/>
        <v>648.96226415094338</v>
      </c>
      <c r="M291" s="1">
        <f t="shared" si="291"/>
        <v>850.92452830188677</v>
      </c>
      <c r="N291" s="1">
        <f t="shared" si="291"/>
        <v>1005.3962264150944</v>
      </c>
      <c r="O291" s="1">
        <f t="shared" si="291"/>
        <v>1162.867924528302</v>
      </c>
      <c r="P291" s="1">
        <f t="shared" si="291"/>
        <v>1323.3396226415095</v>
      </c>
      <c r="Q291" s="1">
        <f t="shared" si="291"/>
        <v>1483.8113207547171</v>
      </c>
      <c r="R291" s="1">
        <f t="shared" si="291"/>
        <v>1590.7924528301889</v>
      </c>
      <c r="S291" s="1">
        <f t="shared" si="291"/>
        <v>1697.7735849056608</v>
      </c>
      <c r="T291" s="1">
        <f t="shared" si="291"/>
        <v>1804.7547169811326</v>
      </c>
      <c r="U291" s="1">
        <f t="shared" si="291"/>
        <v>1911.7358490566044</v>
      </c>
      <c r="X291" s="2">
        <v>39</v>
      </c>
      <c r="Y291" s="2">
        <v>69</v>
      </c>
      <c r="Z291" s="2">
        <v>85</v>
      </c>
      <c r="AA291" s="2">
        <v>117</v>
      </c>
      <c r="AB291" s="2">
        <v>147</v>
      </c>
      <c r="AC291" s="2">
        <v>194</v>
      </c>
      <c r="AD291" s="2">
        <v>267</v>
      </c>
      <c r="AE291" s="2">
        <v>451</v>
      </c>
    </row>
    <row r="292" spans="3:31">
      <c r="C292" s="1" t="s">
        <v>213</v>
      </c>
      <c r="F292" s="2">
        <v>7</v>
      </c>
      <c r="G292" s="2">
        <v>9</v>
      </c>
      <c r="H292" s="2">
        <v>19</v>
      </c>
      <c r="I292" s="2">
        <v>36</v>
      </c>
      <c r="J292" s="2">
        <v>52</v>
      </c>
      <c r="K292" s="2">
        <v>93</v>
      </c>
      <c r="L292" s="1">
        <f t="shared" si="291"/>
        <v>109.98113207547172</v>
      </c>
      <c r="M292" s="1">
        <f t="shared" si="291"/>
        <v>126.96226415094338</v>
      </c>
      <c r="N292" s="1">
        <f t="shared" si="291"/>
        <v>139.69811320754712</v>
      </c>
      <c r="O292" s="1">
        <f t="shared" si="291"/>
        <v>152.43396226415086</v>
      </c>
      <c r="P292" s="1">
        <f t="shared" si="291"/>
        <v>165.1698113207546</v>
      </c>
      <c r="Q292" s="1">
        <f t="shared" si="291"/>
        <v>177.90566037735834</v>
      </c>
      <c r="R292" s="1">
        <f t="shared" si="291"/>
        <v>186.39622641509419</v>
      </c>
      <c r="S292" s="1">
        <f t="shared" si="291"/>
        <v>194.88679245283004</v>
      </c>
      <c r="T292" s="1">
        <f t="shared" si="291"/>
        <v>203.37735849056588</v>
      </c>
      <c r="U292" s="1">
        <f t="shared" si="291"/>
        <v>211.86792452830173</v>
      </c>
      <c r="X292" s="2">
        <v>12</v>
      </c>
      <c r="Y292" s="2">
        <v>19</v>
      </c>
      <c r="Z292" s="2">
        <v>25</v>
      </c>
      <c r="AA292" s="2">
        <v>36</v>
      </c>
      <c r="AB292" s="2">
        <v>43</v>
      </c>
      <c r="AC292" s="2">
        <v>52</v>
      </c>
      <c r="AD292" s="2">
        <v>67</v>
      </c>
      <c r="AE292" s="2">
        <v>93</v>
      </c>
    </row>
    <row r="294" spans="3:31" s="26" customFormat="1" ht="19">
      <c r="C294" s="38" t="s">
        <v>30</v>
      </c>
      <c r="G294" s="8">
        <f t="shared" ref="G294:U298" si="292">G288/F288-1</f>
        <v>0.20547945205479445</v>
      </c>
      <c r="H294" s="8">
        <f t="shared" si="292"/>
        <v>0.55113636363636354</v>
      </c>
      <c r="I294" s="8">
        <f t="shared" si="292"/>
        <v>0.70695970695970689</v>
      </c>
      <c r="J294" s="8">
        <f t="shared" si="292"/>
        <v>0.64806866952789699</v>
      </c>
      <c r="K294" s="8">
        <f t="shared" si="292"/>
        <v>0.69010416666666674</v>
      </c>
      <c r="L294" s="8">
        <f t="shared" si="292"/>
        <v>0.30816640986132504</v>
      </c>
      <c r="M294" s="8">
        <f t="shared" si="292"/>
        <v>0.23557126030624254</v>
      </c>
      <c r="N294" s="8">
        <f t="shared" si="292"/>
        <v>0.14299332697807432</v>
      </c>
      <c r="O294" s="8">
        <f t="shared" si="292"/>
        <v>0.12510425354462051</v>
      </c>
      <c r="P294" s="8">
        <f t="shared" si="292"/>
        <v>0.11119347664936985</v>
      </c>
      <c r="Q294" s="8">
        <f t="shared" si="292"/>
        <v>0.10006671114076049</v>
      </c>
      <c r="R294" s="8">
        <f t="shared" si="292"/>
        <v>6.0642813826561559E-2</v>
      </c>
      <c r="S294" s="8">
        <f t="shared" si="292"/>
        <v>5.717552887364219E-2</v>
      </c>
      <c r="T294" s="8">
        <f t="shared" si="292"/>
        <v>5.4083288263926388E-2</v>
      </c>
      <c r="U294" s="8">
        <f t="shared" si="292"/>
        <v>5.1308363263211865E-2</v>
      </c>
      <c r="Z294" s="8">
        <f>Z288/X288-1</f>
        <v>0.67980295566502469</v>
      </c>
      <c r="AA294" s="8">
        <f t="shared" ref="AA294:AE298" si="293">AA288/Y288-1</f>
        <v>0.70695970695970689</v>
      </c>
      <c r="AB294" s="8">
        <f t="shared" si="293"/>
        <v>0.73900293255131966</v>
      </c>
      <c r="AC294" s="8">
        <f t="shared" si="293"/>
        <v>0.64806866952789699</v>
      </c>
      <c r="AD294" s="8">
        <f t="shared" si="293"/>
        <v>0.57672849915682978</v>
      </c>
      <c r="AE294" s="8">
        <f t="shared" si="293"/>
        <v>0.69010416666666674</v>
      </c>
    </row>
    <row r="295" spans="3:31" s="26" customFormat="1">
      <c r="C295" s="26" t="s">
        <v>208</v>
      </c>
      <c r="G295" s="8">
        <f>G289/F289-1</f>
        <v>0.10000000000000009</v>
      </c>
      <c r="H295" s="8">
        <f t="shared" si="292"/>
        <v>0.18181818181818188</v>
      </c>
      <c r="I295" s="8">
        <f t="shared" si="292"/>
        <v>0.63076923076923075</v>
      </c>
      <c r="J295" s="8">
        <f t="shared" si="292"/>
        <v>0.79245283018867929</v>
      </c>
      <c r="K295" s="8">
        <f t="shared" si="292"/>
        <v>0.34210526315789469</v>
      </c>
      <c r="L295" s="8">
        <f t="shared" si="292"/>
        <v>0.17669256381798015</v>
      </c>
      <c r="M295" s="8">
        <f t="shared" si="292"/>
        <v>0.13682952901968193</v>
      </c>
      <c r="N295" s="8">
        <f t="shared" si="292"/>
        <v>8.1475745339897099E-2</v>
      </c>
      <c r="O295" s="8">
        <f t="shared" si="292"/>
        <v>6.7205400981996677E-2</v>
      </c>
      <c r="P295" s="8">
        <f t="shared" si="292"/>
        <v>5.5353206172721103E-2</v>
      </c>
      <c r="Q295" s="8">
        <f t="shared" si="292"/>
        <v>5.2449934153762312E-2</v>
      </c>
      <c r="R295" s="8">
        <f t="shared" si="292"/>
        <v>3.3224024853296452E-2</v>
      </c>
      <c r="S295" s="8">
        <f t="shared" si="292"/>
        <v>3.2155683621481579E-2</v>
      </c>
      <c r="T295" s="8">
        <f t="shared" si="292"/>
        <v>3.1153908399417451E-2</v>
      </c>
      <c r="U295" s="8">
        <f t="shared" si="292"/>
        <v>3.0212665777289427E-2</v>
      </c>
      <c r="Z295" s="8">
        <f t="shared" ref="Z295:Z298" si="294">Z289/X289-1</f>
        <v>0.36842105263157898</v>
      </c>
      <c r="AA295" s="8">
        <f t="shared" si="293"/>
        <v>0.63076923076923075</v>
      </c>
      <c r="AB295" s="8">
        <f t="shared" si="293"/>
        <v>0.87179487179487181</v>
      </c>
      <c r="AC295" s="8">
        <f t="shared" si="293"/>
        <v>0.79245283018867929</v>
      </c>
      <c r="AD295" s="8">
        <f t="shared" si="293"/>
        <v>0.45205479452054798</v>
      </c>
      <c r="AE295" s="8">
        <f t="shared" si="293"/>
        <v>0.34210526315789469</v>
      </c>
    </row>
    <row r="296" spans="3:31" s="26" customFormat="1">
      <c r="C296" s="26" t="s">
        <v>209</v>
      </c>
      <c r="G296" s="8">
        <f t="shared" ref="G296:J298" si="295">G290/F290-1</f>
        <v>0.16901408450704225</v>
      </c>
      <c r="H296" s="8">
        <f t="shared" si="295"/>
        <v>0.44578313253012047</v>
      </c>
      <c r="I296" s="8">
        <f t="shared" si="295"/>
        <v>0.72500000000000009</v>
      </c>
      <c r="J296" s="8">
        <f t="shared" si="295"/>
        <v>0.60386473429951693</v>
      </c>
      <c r="K296" s="8">
        <f t="shared" si="292"/>
        <v>0.50301204819277112</v>
      </c>
      <c r="L296" s="8">
        <f t="shared" si="292"/>
        <v>0.28056112224448904</v>
      </c>
      <c r="M296" s="8">
        <f t="shared" si="292"/>
        <v>0.21909233176838816</v>
      </c>
      <c r="N296" s="8">
        <f t="shared" si="292"/>
        <v>0.13478818998716302</v>
      </c>
      <c r="O296" s="8">
        <f t="shared" si="292"/>
        <v>0.11877828054298645</v>
      </c>
      <c r="P296" s="8">
        <f t="shared" si="292"/>
        <v>0.10616784630940335</v>
      </c>
      <c r="Q296" s="8">
        <f t="shared" si="292"/>
        <v>9.5978062157221267E-2</v>
      </c>
      <c r="R296" s="8">
        <f t="shared" si="292"/>
        <v>5.8381984987489588E-2</v>
      </c>
      <c r="S296" s="8">
        <f t="shared" si="292"/>
        <v>5.5161544523246731E-2</v>
      </c>
      <c r="T296" s="8">
        <f t="shared" si="292"/>
        <v>5.2277819268110592E-2</v>
      </c>
      <c r="U296" s="8">
        <f t="shared" si="292"/>
        <v>4.968062455642297E-2</v>
      </c>
      <c r="Z296" s="8">
        <f t="shared" si="294"/>
        <v>0.61052631578947358</v>
      </c>
      <c r="AA296" s="8">
        <f t="shared" si="293"/>
        <v>0.72500000000000009</v>
      </c>
      <c r="AB296" s="8">
        <f t="shared" si="293"/>
        <v>0.6797385620915033</v>
      </c>
      <c r="AC296" s="8">
        <f t="shared" si="293"/>
        <v>0.60386473429951693</v>
      </c>
      <c r="AD296" s="8">
        <f t="shared" si="293"/>
        <v>0.51361867704280151</v>
      </c>
      <c r="AE296" s="8">
        <f t="shared" si="293"/>
        <v>0.50301204819277112</v>
      </c>
    </row>
    <row r="297" spans="3:31" s="26" customFormat="1">
      <c r="C297" s="26" t="s">
        <v>212</v>
      </c>
      <c r="G297" s="8">
        <f t="shared" si="295"/>
        <v>0.61111111111111116</v>
      </c>
      <c r="H297" s="8">
        <f t="shared" si="295"/>
        <v>1.3793103448275863</v>
      </c>
      <c r="I297" s="8">
        <f t="shared" si="295"/>
        <v>0.69565217391304346</v>
      </c>
      <c r="J297" s="8">
        <f t="shared" si="295"/>
        <v>0.65811965811965822</v>
      </c>
      <c r="K297" s="8">
        <f t="shared" si="292"/>
        <v>1.3247422680412373</v>
      </c>
      <c r="L297" s="8">
        <f t="shared" si="292"/>
        <v>0.4389407187382337</v>
      </c>
      <c r="M297" s="8">
        <f t="shared" si="292"/>
        <v>0.31120802442215445</v>
      </c>
      <c r="N297" s="8">
        <f t="shared" si="292"/>
        <v>0.18153395862435984</v>
      </c>
      <c r="O297" s="8">
        <f t="shared" si="292"/>
        <v>0.15662650602409633</v>
      </c>
      <c r="P297" s="8">
        <f t="shared" si="292"/>
        <v>0.1379964953271029</v>
      </c>
      <c r="Q297" s="8">
        <f t="shared" si="292"/>
        <v>0.12126267162838444</v>
      </c>
      <c r="R297" s="8">
        <f t="shared" si="292"/>
        <v>7.2098878461890559E-2</v>
      </c>
      <c r="S297" s="8">
        <f t="shared" si="292"/>
        <v>6.7250213492741295E-2</v>
      </c>
      <c r="T297" s="8">
        <f t="shared" si="292"/>
        <v>6.3012602520504224E-2</v>
      </c>
      <c r="U297" s="8">
        <f t="shared" si="292"/>
        <v>5.9277380504328292E-2</v>
      </c>
      <c r="Z297" s="8">
        <f t="shared" si="294"/>
        <v>1.1794871794871793</v>
      </c>
      <c r="AA297" s="8">
        <f t="shared" si="293"/>
        <v>0.69565217391304346</v>
      </c>
      <c r="AB297" s="8">
        <f t="shared" si="293"/>
        <v>0.72941176470588243</v>
      </c>
      <c r="AC297" s="8">
        <f t="shared" si="293"/>
        <v>0.65811965811965822</v>
      </c>
      <c r="AD297" s="8">
        <f t="shared" si="293"/>
        <v>0.81632653061224492</v>
      </c>
      <c r="AE297" s="8">
        <f t="shared" si="293"/>
        <v>1.3247422680412373</v>
      </c>
    </row>
    <row r="298" spans="3:31" s="26" customFormat="1">
      <c r="C298" s="26" t="s">
        <v>213</v>
      </c>
      <c r="G298" s="8">
        <f t="shared" si="295"/>
        <v>0.28571428571428581</v>
      </c>
      <c r="H298" s="8">
        <f t="shared" si="295"/>
        <v>1.1111111111111112</v>
      </c>
      <c r="I298" s="8">
        <f t="shared" si="295"/>
        <v>0.89473684210526305</v>
      </c>
      <c r="J298" s="8">
        <f t="shared" si="295"/>
        <v>0.44444444444444442</v>
      </c>
      <c r="K298" s="8">
        <f t="shared" si="292"/>
        <v>0.78846153846153855</v>
      </c>
      <c r="L298" s="8">
        <f t="shared" si="292"/>
        <v>0.18259281801582494</v>
      </c>
      <c r="M298" s="8">
        <f t="shared" si="292"/>
        <v>0.15440041173443086</v>
      </c>
      <c r="N298" s="8">
        <f t="shared" si="292"/>
        <v>0.10031208203299125</v>
      </c>
      <c r="O298" s="8">
        <f t="shared" si="292"/>
        <v>9.1166936790923581E-2</v>
      </c>
      <c r="P298" s="8">
        <f t="shared" si="292"/>
        <v>8.3549944300036927E-2</v>
      </c>
      <c r="Q298" s="8">
        <f t="shared" si="292"/>
        <v>7.7107607950650969E-2</v>
      </c>
      <c r="R298" s="8">
        <f t="shared" si="292"/>
        <v>4.7725103404390623E-2</v>
      </c>
      <c r="S298" s="8">
        <f t="shared" si="292"/>
        <v>4.5551169146674786E-2</v>
      </c>
      <c r="T298" s="8">
        <f t="shared" si="292"/>
        <v>4.3566656985187358E-2</v>
      </c>
      <c r="U298" s="8">
        <f t="shared" si="292"/>
        <v>4.1747843028110188E-2</v>
      </c>
      <c r="Z298" s="8">
        <f t="shared" si="294"/>
        <v>1.0833333333333335</v>
      </c>
      <c r="AA298" s="8">
        <f t="shared" si="293"/>
        <v>0.89473684210526305</v>
      </c>
      <c r="AB298" s="8">
        <f t="shared" si="293"/>
        <v>0.72</v>
      </c>
      <c r="AC298" s="8">
        <f t="shared" si="293"/>
        <v>0.44444444444444442</v>
      </c>
      <c r="AD298" s="8">
        <f t="shared" si="293"/>
        <v>0.55813953488372103</v>
      </c>
      <c r="AE298" s="8">
        <f t="shared" si="293"/>
        <v>0.78846153846153855</v>
      </c>
    </row>
    <row r="300" spans="3:31" s="26" customFormat="1" ht="19">
      <c r="C300" s="38" t="s">
        <v>36</v>
      </c>
    </row>
    <row r="301" spans="3:31" s="26" customFormat="1">
      <c r="C301" s="26" t="s">
        <v>208</v>
      </c>
      <c r="G301" s="8">
        <f>G289/G$288</f>
        <v>0.3125</v>
      </c>
      <c r="H301" s="8">
        <f t="shared" ref="H301:U304" si="296">H289/H$288</f>
        <v>0.23809523809523808</v>
      </c>
      <c r="I301" s="8">
        <f t="shared" si="296"/>
        <v>0.22746781115879827</v>
      </c>
      <c r="J301" s="8">
        <f t="shared" si="296"/>
        <v>0.24739583333333334</v>
      </c>
      <c r="K301" s="8">
        <f t="shared" si="296"/>
        <v>0.19645608628659475</v>
      </c>
      <c r="L301" s="8">
        <f t="shared" si="296"/>
        <v>0.17671178078538571</v>
      </c>
      <c r="M301" s="8">
        <f t="shared" si="296"/>
        <v>0.16258970807777401</v>
      </c>
      <c r="N301" s="8">
        <f t="shared" si="296"/>
        <v>0.15383889089964908</v>
      </c>
      <c r="O301" s="8">
        <f t="shared" si="296"/>
        <v>0.14592220652614796</v>
      </c>
      <c r="P301" s="8">
        <f t="shared" si="296"/>
        <v>0.13858924817803064</v>
      </c>
      <c r="Q301" s="8">
        <f t="shared" si="296"/>
        <v>0.13259036351362175</v>
      </c>
      <c r="R301" s="8">
        <f t="shared" si="296"/>
        <v>0.12916275607624841</v>
      </c>
      <c r="S301" s="8">
        <f t="shared" si="296"/>
        <v>0.12610590120105716</v>
      </c>
      <c r="T301" s="8">
        <f t="shared" si="296"/>
        <v>0.12336273076662439</v>
      </c>
      <c r="U301" s="8">
        <f t="shared" si="296"/>
        <v>0.12088731732920799</v>
      </c>
    </row>
    <row r="302" spans="3:31" s="26" customFormat="1">
      <c r="C302" s="26" t="s">
        <v>209</v>
      </c>
      <c r="G302" s="8">
        <f t="shared" ref="G302:J304" si="297">G290/G$288</f>
        <v>0.47159090909090912</v>
      </c>
      <c r="H302" s="8">
        <f t="shared" si="297"/>
        <v>0.43956043956043955</v>
      </c>
      <c r="I302" s="8">
        <f t="shared" si="297"/>
        <v>0.44420600858369097</v>
      </c>
      <c r="J302" s="8">
        <f t="shared" si="297"/>
        <v>0.43229166666666669</v>
      </c>
      <c r="K302" s="8">
        <f t="shared" si="296"/>
        <v>0.38443759630200308</v>
      </c>
      <c r="L302" s="8">
        <f t="shared" si="296"/>
        <v>0.37632508833922262</v>
      </c>
      <c r="M302" s="8">
        <f t="shared" si="296"/>
        <v>0.3713060057197331</v>
      </c>
      <c r="N302" s="8">
        <f t="shared" si="296"/>
        <v>0.36864053377814848</v>
      </c>
      <c r="O302" s="8">
        <f t="shared" si="296"/>
        <v>0.3665678280207561</v>
      </c>
      <c r="P302" s="8">
        <f t="shared" si="296"/>
        <v>0.36490993995997334</v>
      </c>
      <c r="Q302" s="8">
        <f t="shared" si="296"/>
        <v>0.36355366889023649</v>
      </c>
      <c r="R302" s="8">
        <f t="shared" si="296"/>
        <v>0.362778730703259</v>
      </c>
      <c r="S302" s="8">
        <f t="shared" si="296"/>
        <v>0.36208761492698754</v>
      </c>
      <c r="T302" s="8">
        <f t="shared" si="296"/>
        <v>0.36146741918932784</v>
      </c>
      <c r="U302" s="8">
        <f t="shared" si="296"/>
        <v>0.36090775988286972</v>
      </c>
    </row>
    <row r="303" spans="3:31" s="26" customFormat="1">
      <c r="C303" s="26" t="s">
        <v>212</v>
      </c>
      <c r="G303" s="8">
        <f t="shared" si="297"/>
        <v>0.16477272727272727</v>
      </c>
      <c r="H303" s="8">
        <f t="shared" si="297"/>
        <v>0.25274725274725274</v>
      </c>
      <c r="I303" s="8">
        <f t="shared" si="297"/>
        <v>0.25107296137339058</v>
      </c>
      <c r="J303" s="8">
        <f t="shared" si="297"/>
        <v>0.25260416666666669</v>
      </c>
      <c r="K303" s="8">
        <f t="shared" si="296"/>
        <v>0.34745762711864409</v>
      </c>
      <c r="L303" s="8">
        <f t="shared" si="296"/>
        <v>0.38219214614307617</v>
      </c>
      <c r="M303" s="8">
        <f t="shared" si="296"/>
        <v>0.40558843103045128</v>
      </c>
      <c r="N303" s="8">
        <f t="shared" si="296"/>
        <v>0.4192644814074622</v>
      </c>
      <c r="O303" s="8">
        <f t="shared" si="296"/>
        <v>0.43101109137446331</v>
      </c>
      <c r="P303" s="8">
        <f t="shared" si="296"/>
        <v>0.44140747919996981</v>
      </c>
      <c r="Q303" s="8">
        <f t="shared" si="296"/>
        <v>0.44991246839136362</v>
      </c>
      <c r="R303" s="8">
        <f t="shared" si="296"/>
        <v>0.45477199909382188</v>
      </c>
      <c r="S303" s="8">
        <f t="shared" si="296"/>
        <v>0.45910589099666327</v>
      </c>
      <c r="T303" s="8">
        <f t="shared" si="296"/>
        <v>0.46299505309931571</v>
      </c>
      <c r="U303" s="8">
        <f t="shared" si="296"/>
        <v>0.46650459957457402</v>
      </c>
    </row>
    <row r="304" spans="3:31" s="26" customFormat="1">
      <c r="C304" s="26" t="s">
        <v>213</v>
      </c>
      <c r="G304" s="8">
        <f t="shared" si="297"/>
        <v>5.113636363636364E-2</v>
      </c>
      <c r="H304" s="8">
        <f t="shared" si="297"/>
        <v>6.95970695970696E-2</v>
      </c>
      <c r="I304" s="8">
        <f t="shared" si="297"/>
        <v>7.7253218884120178E-2</v>
      </c>
      <c r="J304" s="8">
        <f t="shared" si="297"/>
        <v>6.7708333333333329E-2</v>
      </c>
      <c r="K304" s="8">
        <f t="shared" si="296"/>
        <v>7.1648690292758083E-2</v>
      </c>
      <c r="L304" s="8">
        <f t="shared" si="296"/>
        <v>6.4770984732315504E-2</v>
      </c>
      <c r="M304" s="8">
        <f t="shared" si="296"/>
        <v>6.0515855172041652E-2</v>
      </c>
      <c r="N304" s="8">
        <f t="shared" si="296"/>
        <v>5.8256093914740251E-2</v>
      </c>
      <c r="O304" s="8">
        <f t="shared" si="296"/>
        <v>5.649887407863264E-2</v>
      </c>
      <c r="P304" s="8">
        <f t="shared" si="296"/>
        <v>5.509333266202622E-2</v>
      </c>
      <c r="Q304" s="8">
        <f t="shared" si="296"/>
        <v>5.3943499204778152E-2</v>
      </c>
      <c r="R304" s="8">
        <f t="shared" si="296"/>
        <v>5.3286514126670723E-2</v>
      </c>
      <c r="S304" s="8">
        <f t="shared" si="296"/>
        <v>5.2700592875292059E-2</v>
      </c>
      <c r="T304" s="8">
        <f t="shared" si="296"/>
        <v>5.2174796944732142E-2</v>
      </c>
      <c r="U304" s="8">
        <f t="shared" si="296"/>
        <v>5.1700323213348394E-2</v>
      </c>
    </row>
    <row r="306" spans="3:31">
      <c r="C306" s="1" t="s">
        <v>112</v>
      </c>
      <c r="F306" s="2">
        <v>112</v>
      </c>
      <c r="G306" s="1">
        <f>F321</f>
        <v>146</v>
      </c>
      <c r="H306" s="1">
        <f t="shared" ref="H306:U306" si="298">G321</f>
        <v>176</v>
      </c>
      <c r="I306" s="1">
        <f t="shared" si="298"/>
        <v>273</v>
      </c>
      <c r="J306" s="1">
        <f t="shared" si="298"/>
        <v>466</v>
      </c>
      <c r="K306" s="1">
        <f t="shared" si="298"/>
        <v>768</v>
      </c>
      <c r="L306" s="1">
        <f t="shared" si="298"/>
        <v>1298</v>
      </c>
      <c r="M306" s="1">
        <f t="shared" si="298"/>
        <v>1698</v>
      </c>
      <c r="N306" s="1">
        <f t="shared" si="298"/>
        <v>2098</v>
      </c>
      <c r="O306" s="1">
        <f t="shared" si="298"/>
        <v>2398</v>
      </c>
      <c r="P306" s="1">
        <f t="shared" si="298"/>
        <v>2698</v>
      </c>
      <c r="Q306" s="1">
        <f t="shared" si="298"/>
        <v>2998</v>
      </c>
      <c r="R306" s="1">
        <f t="shared" si="298"/>
        <v>3298</v>
      </c>
      <c r="S306" s="1">
        <f t="shared" si="298"/>
        <v>3498</v>
      </c>
      <c r="T306" s="1">
        <f t="shared" si="298"/>
        <v>3698</v>
      </c>
      <c r="U306" s="1">
        <f t="shared" si="298"/>
        <v>3898</v>
      </c>
      <c r="Z306" s="1">
        <f t="shared" ref="Z306:AE306" si="299">Y321</f>
        <v>273</v>
      </c>
      <c r="AA306" s="1">
        <f t="shared" si="299"/>
        <v>341</v>
      </c>
      <c r="AB306" s="1">
        <f t="shared" si="299"/>
        <v>466</v>
      </c>
      <c r="AC306" s="1">
        <f t="shared" si="299"/>
        <v>593</v>
      </c>
      <c r="AD306" s="1">
        <f t="shared" si="299"/>
        <v>768</v>
      </c>
      <c r="AE306" s="1">
        <f t="shared" si="299"/>
        <v>935</v>
      </c>
    </row>
    <row r="307" spans="3:31">
      <c r="C307" s="1" t="s">
        <v>214</v>
      </c>
      <c r="F307" s="2">
        <v>36</v>
      </c>
      <c r="G307" s="2">
        <v>32</v>
      </c>
      <c r="H307" s="2">
        <v>98</v>
      </c>
      <c r="I307" s="2">
        <v>200</v>
      </c>
      <c r="J307" s="2">
        <v>308</v>
      </c>
      <c r="K307" s="2">
        <v>544</v>
      </c>
      <c r="L307" s="3">
        <v>400</v>
      </c>
      <c r="M307" s="3">
        <v>400</v>
      </c>
      <c r="N307" s="3">
        <v>300</v>
      </c>
      <c r="O307" s="3">
        <v>300</v>
      </c>
      <c r="P307" s="3">
        <v>300</v>
      </c>
      <c r="Q307" s="3">
        <v>300</v>
      </c>
      <c r="R307" s="3">
        <v>200</v>
      </c>
      <c r="S307" s="3">
        <v>200</v>
      </c>
      <c r="T307" s="3">
        <v>200</v>
      </c>
      <c r="U307" s="3">
        <v>200</v>
      </c>
      <c r="X307" s="2"/>
      <c r="Z307" s="2">
        <v>71</v>
      </c>
      <c r="AA307" s="1">
        <f>I307-Z307</f>
        <v>129</v>
      </c>
      <c r="AB307" s="2">
        <v>130</v>
      </c>
      <c r="AC307" s="1">
        <f>J307-AB307</f>
        <v>178</v>
      </c>
      <c r="AD307" s="2">
        <v>173</v>
      </c>
      <c r="AE307" s="1">
        <f>K307-AD307</f>
        <v>371</v>
      </c>
    </row>
    <row r="308" spans="3:31" s="12" customFormat="1">
      <c r="D308" s="12" t="s">
        <v>215</v>
      </c>
      <c r="F308" s="12">
        <f>F307/F306</f>
        <v>0.32142857142857145</v>
      </c>
      <c r="G308" s="12">
        <f t="shared" ref="G308:U308" si="300">G307/G306</f>
        <v>0.21917808219178081</v>
      </c>
      <c r="H308" s="12">
        <f t="shared" si="300"/>
        <v>0.55681818181818177</v>
      </c>
      <c r="I308" s="12">
        <f t="shared" si="300"/>
        <v>0.73260073260073255</v>
      </c>
      <c r="J308" s="12">
        <f t="shared" si="300"/>
        <v>0.66094420600858372</v>
      </c>
      <c r="K308" s="12">
        <f t="shared" si="300"/>
        <v>0.70833333333333337</v>
      </c>
      <c r="L308" s="12">
        <f t="shared" si="300"/>
        <v>0.3081664098613251</v>
      </c>
      <c r="M308" s="12">
        <f t="shared" si="300"/>
        <v>0.23557126030624265</v>
      </c>
      <c r="N308" s="12">
        <f t="shared" si="300"/>
        <v>0.14299332697807435</v>
      </c>
      <c r="O308" s="12">
        <f t="shared" si="300"/>
        <v>0.12510425354462051</v>
      </c>
      <c r="P308" s="12">
        <f t="shared" si="300"/>
        <v>0.1111934766493699</v>
      </c>
      <c r="Q308" s="12">
        <f t="shared" si="300"/>
        <v>0.1000667111407605</v>
      </c>
      <c r="R308" s="12">
        <f t="shared" si="300"/>
        <v>6.0642813826561552E-2</v>
      </c>
      <c r="S308" s="12">
        <f t="shared" si="300"/>
        <v>5.7175528873642079E-2</v>
      </c>
      <c r="T308" s="12">
        <f t="shared" si="300"/>
        <v>5.4083288263926443E-2</v>
      </c>
      <c r="U308" s="12">
        <f t="shared" si="300"/>
        <v>5.1308363263211906E-2</v>
      </c>
      <c r="AA308" s="12">
        <f t="shared" ref="AA308:AE308" si="301">AA307/AA306</f>
        <v>0.3782991202346041</v>
      </c>
      <c r="AB308" s="12">
        <f t="shared" si="301"/>
        <v>0.27896995708154504</v>
      </c>
      <c r="AC308" s="12">
        <f t="shared" si="301"/>
        <v>0.30016863406408095</v>
      </c>
      <c r="AD308" s="12">
        <f t="shared" si="301"/>
        <v>0.22526041666666666</v>
      </c>
      <c r="AE308" s="12">
        <f t="shared" si="301"/>
        <v>0.39679144385026738</v>
      </c>
    </row>
    <row r="309" spans="3:31">
      <c r="C309" s="1" t="s">
        <v>216</v>
      </c>
      <c r="F309" s="1">
        <f>F321-F307-F306</f>
        <v>-2</v>
      </c>
      <c r="G309" s="1">
        <f>G321-G307-G306</f>
        <v>-2</v>
      </c>
      <c r="H309" s="1">
        <f>H321-H307-H306</f>
        <v>-1</v>
      </c>
      <c r="I309" s="1">
        <f t="shared" ref="I309:K309" si="302">I321-I307-I306</f>
        <v>-7</v>
      </c>
      <c r="J309" s="1">
        <f t="shared" si="302"/>
        <v>-6</v>
      </c>
      <c r="K309" s="1">
        <f t="shared" si="302"/>
        <v>-14</v>
      </c>
      <c r="Z309" s="1">
        <f t="shared" ref="Z309:AC309" si="303">Z321-Z307-Z306</f>
        <v>-3</v>
      </c>
      <c r="AA309" s="1">
        <f t="shared" si="303"/>
        <v>-4</v>
      </c>
      <c r="AB309" s="1">
        <f t="shared" si="303"/>
        <v>-3</v>
      </c>
      <c r="AC309" s="1">
        <f t="shared" si="303"/>
        <v>-3</v>
      </c>
      <c r="AD309" s="1">
        <f>AD321-AD307-AD306</f>
        <v>-6</v>
      </c>
      <c r="AE309" s="1">
        <f t="shared" ref="AE309" si="304">AE321-AE307-AE306</f>
        <v>-8</v>
      </c>
    </row>
    <row r="310" spans="3:31" s="30" customFormat="1">
      <c r="C310" s="30" t="s">
        <v>217</v>
      </c>
      <c r="F310" s="30">
        <f t="shared" ref="F310:I310" si="305">F321-F306</f>
        <v>34</v>
      </c>
      <c r="G310" s="30">
        <f t="shared" si="305"/>
        <v>30</v>
      </c>
      <c r="H310" s="30">
        <f t="shared" si="305"/>
        <v>97</v>
      </c>
      <c r="I310" s="30">
        <f t="shared" si="305"/>
        <v>193</v>
      </c>
      <c r="J310" s="30">
        <f>J321-J306</f>
        <v>302</v>
      </c>
      <c r="K310" s="30">
        <f>K321-K306</f>
        <v>530</v>
      </c>
      <c r="L310" s="30">
        <f t="shared" ref="L310:U310" si="306">L307+L309</f>
        <v>400</v>
      </c>
      <c r="M310" s="30">
        <f t="shared" si="306"/>
        <v>400</v>
      </c>
      <c r="N310" s="30">
        <f t="shared" si="306"/>
        <v>300</v>
      </c>
      <c r="O310" s="30">
        <f t="shared" si="306"/>
        <v>300</v>
      </c>
      <c r="P310" s="30">
        <f t="shared" si="306"/>
        <v>300</v>
      </c>
      <c r="Q310" s="30">
        <f t="shared" si="306"/>
        <v>300</v>
      </c>
      <c r="R310" s="30">
        <f t="shared" si="306"/>
        <v>200</v>
      </c>
      <c r="S310" s="30">
        <f t="shared" si="306"/>
        <v>200</v>
      </c>
      <c r="T310" s="30">
        <f t="shared" si="306"/>
        <v>200</v>
      </c>
      <c r="U310" s="30">
        <f t="shared" si="306"/>
        <v>200</v>
      </c>
      <c r="Z310" s="30">
        <f t="shared" ref="Z310:AE310" si="307">Z321-Z306</f>
        <v>68</v>
      </c>
      <c r="AA310" s="30">
        <f t="shared" si="307"/>
        <v>125</v>
      </c>
      <c r="AB310" s="30">
        <f t="shared" si="307"/>
        <v>127</v>
      </c>
      <c r="AC310" s="30">
        <f t="shared" si="307"/>
        <v>175</v>
      </c>
      <c r="AD310" s="30">
        <f t="shared" si="307"/>
        <v>167</v>
      </c>
      <c r="AE310" s="30">
        <f t="shared" si="307"/>
        <v>363</v>
      </c>
    </row>
    <row r="311" spans="3:31" s="39" customFormat="1" outlineLevel="1">
      <c r="D311" s="39" t="s">
        <v>208</v>
      </c>
      <c r="G311" s="39">
        <f t="shared" ref="G311:K314" si="308">G289-F289</f>
        <v>5</v>
      </c>
      <c r="H311" s="39">
        <f t="shared" si="308"/>
        <v>10</v>
      </c>
      <c r="I311" s="39">
        <f t="shared" si="308"/>
        <v>41</v>
      </c>
      <c r="J311" s="39">
        <f t="shared" si="308"/>
        <v>84</v>
      </c>
      <c r="K311" s="39">
        <f t="shared" si="308"/>
        <v>65</v>
      </c>
      <c r="L311" s="39">
        <f t="shared" ref="L311:U314" si="309">L$310*L317</f>
        <v>45.056603773584911</v>
      </c>
      <c r="M311" s="39">
        <f t="shared" si="309"/>
        <v>41.056603773584911</v>
      </c>
      <c r="N311" s="39">
        <f t="shared" si="309"/>
        <v>27.792452830188683</v>
      </c>
      <c r="O311" s="39">
        <f t="shared" si="309"/>
        <v>24.792452830188687</v>
      </c>
      <c r="P311" s="39">
        <f t="shared" si="309"/>
        <v>21.792452830188687</v>
      </c>
      <c r="Q311" s="39">
        <f t="shared" si="309"/>
        <v>21.792452830188687</v>
      </c>
      <c r="R311" s="39">
        <f t="shared" si="309"/>
        <v>14.528301886792457</v>
      </c>
      <c r="S311" s="39">
        <f t="shared" si="309"/>
        <v>14.528301886792457</v>
      </c>
      <c r="T311" s="39">
        <f t="shared" si="309"/>
        <v>14.528301886792457</v>
      </c>
      <c r="U311" s="39">
        <f t="shared" si="309"/>
        <v>14.528301886792457</v>
      </c>
      <c r="Z311" s="39">
        <f t="shared" ref="Z311:AE314" si="310">Z289-Y289</f>
        <v>13</v>
      </c>
      <c r="AA311" s="39">
        <f t="shared" si="310"/>
        <v>28</v>
      </c>
      <c r="AB311" s="39">
        <f t="shared" si="310"/>
        <v>40</v>
      </c>
      <c r="AC311" s="39">
        <f t="shared" si="310"/>
        <v>44</v>
      </c>
      <c r="AD311" s="39">
        <f t="shared" si="310"/>
        <v>22</v>
      </c>
      <c r="AE311" s="39">
        <f t="shared" si="310"/>
        <v>43</v>
      </c>
    </row>
    <row r="312" spans="3:31" s="39" customFormat="1" outlineLevel="1">
      <c r="D312" s="39" t="s">
        <v>209</v>
      </c>
      <c r="G312" s="39">
        <f t="shared" si="308"/>
        <v>12</v>
      </c>
      <c r="H312" s="39">
        <f t="shared" si="308"/>
        <v>37</v>
      </c>
      <c r="I312" s="39">
        <f t="shared" si="308"/>
        <v>87</v>
      </c>
      <c r="J312" s="39">
        <f t="shared" si="308"/>
        <v>125</v>
      </c>
      <c r="K312" s="39">
        <f t="shared" si="308"/>
        <v>167</v>
      </c>
      <c r="L312" s="39">
        <f t="shared" si="309"/>
        <v>140</v>
      </c>
      <c r="M312" s="39">
        <f t="shared" si="309"/>
        <v>140</v>
      </c>
      <c r="N312" s="39">
        <f t="shared" si="309"/>
        <v>105</v>
      </c>
      <c r="O312" s="39">
        <f t="shared" si="309"/>
        <v>105</v>
      </c>
      <c r="P312" s="39">
        <f t="shared" si="309"/>
        <v>105</v>
      </c>
      <c r="Q312" s="39">
        <f t="shared" si="309"/>
        <v>105</v>
      </c>
      <c r="R312" s="39">
        <f t="shared" si="309"/>
        <v>70</v>
      </c>
      <c r="S312" s="39">
        <f t="shared" si="309"/>
        <v>70</v>
      </c>
      <c r="T312" s="39">
        <f t="shared" si="309"/>
        <v>70</v>
      </c>
      <c r="U312" s="39">
        <f t="shared" si="309"/>
        <v>70</v>
      </c>
      <c r="Z312" s="39">
        <f t="shared" si="310"/>
        <v>33</v>
      </c>
      <c r="AA312" s="39">
        <f t="shared" si="310"/>
        <v>54</v>
      </c>
      <c r="AB312" s="39">
        <f t="shared" si="310"/>
        <v>50</v>
      </c>
      <c r="AC312" s="39">
        <f t="shared" si="310"/>
        <v>75</v>
      </c>
      <c r="AD312" s="39">
        <f t="shared" si="310"/>
        <v>57</v>
      </c>
      <c r="AE312" s="39">
        <f t="shared" si="310"/>
        <v>110</v>
      </c>
    </row>
    <row r="313" spans="3:31" s="39" customFormat="1" outlineLevel="1">
      <c r="D313" s="39" t="s">
        <v>212</v>
      </c>
      <c r="G313" s="39">
        <f t="shared" si="308"/>
        <v>11</v>
      </c>
      <c r="H313" s="39">
        <f t="shared" si="308"/>
        <v>40</v>
      </c>
      <c r="I313" s="39">
        <f t="shared" si="308"/>
        <v>48</v>
      </c>
      <c r="J313" s="39">
        <f t="shared" si="308"/>
        <v>77</v>
      </c>
      <c r="K313" s="39">
        <f t="shared" si="308"/>
        <v>257</v>
      </c>
      <c r="L313" s="39">
        <f t="shared" si="309"/>
        <v>197.96226415094341</v>
      </c>
      <c r="M313" s="39">
        <f t="shared" si="309"/>
        <v>201.96226415094341</v>
      </c>
      <c r="N313" s="39">
        <f t="shared" si="309"/>
        <v>154.47169811320757</v>
      </c>
      <c r="O313" s="39">
        <f t="shared" si="309"/>
        <v>157.47169811320757</v>
      </c>
      <c r="P313" s="39">
        <f t="shared" si="309"/>
        <v>160.47169811320757</v>
      </c>
      <c r="Q313" s="39">
        <f t="shared" si="309"/>
        <v>160.47169811320757</v>
      </c>
      <c r="R313" s="39">
        <f t="shared" si="309"/>
        <v>106.98113207547171</v>
      </c>
      <c r="S313" s="39">
        <f t="shared" si="309"/>
        <v>106.98113207547171</v>
      </c>
      <c r="T313" s="39">
        <f t="shared" si="309"/>
        <v>106.98113207547171</v>
      </c>
      <c r="U313" s="39">
        <f t="shared" si="309"/>
        <v>106.98113207547171</v>
      </c>
      <c r="Z313" s="39">
        <f t="shared" si="310"/>
        <v>16</v>
      </c>
      <c r="AA313" s="39">
        <f t="shared" si="310"/>
        <v>32</v>
      </c>
      <c r="AB313" s="39">
        <f t="shared" si="310"/>
        <v>30</v>
      </c>
      <c r="AC313" s="39">
        <f t="shared" si="310"/>
        <v>47</v>
      </c>
      <c r="AD313" s="39">
        <f t="shared" si="310"/>
        <v>73</v>
      </c>
      <c r="AE313" s="39">
        <f t="shared" si="310"/>
        <v>184</v>
      </c>
    </row>
    <row r="314" spans="3:31" s="39" customFormat="1" outlineLevel="1">
      <c r="D314" s="39" t="s">
        <v>213</v>
      </c>
      <c r="G314" s="39">
        <f t="shared" si="308"/>
        <v>2</v>
      </c>
      <c r="H314" s="39">
        <f t="shared" si="308"/>
        <v>10</v>
      </c>
      <c r="I314" s="39">
        <f t="shared" si="308"/>
        <v>17</v>
      </c>
      <c r="J314" s="39">
        <f t="shared" si="308"/>
        <v>16</v>
      </c>
      <c r="K314" s="39">
        <f t="shared" si="308"/>
        <v>41</v>
      </c>
      <c r="L314" s="39">
        <f t="shared" si="309"/>
        <v>16.981132075471717</v>
      </c>
      <c r="M314" s="39">
        <f t="shared" si="309"/>
        <v>16.98113207547167</v>
      </c>
      <c r="N314" s="39">
        <f t="shared" si="309"/>
        <v>12.735849056603755</v>
      </c>
      <c r="O314" s="39">
        <f t="shared" si="309"/>
        <v>12.735849056603755</v>
      </c>
      <c r="P314" s="39">
        <f t="shared" si="309"/>
        <v>12.735849056603755</v>
      </c>
      <c r="Q314" s="39">
        <f t="shared" si="309"/>
        <v>12.735849056603755</v>
      </c>
      <c r="R314" s="39">
        <f t="shared" si="309"/>
        <v>8.4905660377358352</v>
      </c>
      <c r="S314" s="39">
        <f t="shared" si="309"/>
        <v>8.4905660377358352</v>
      </c>
      <c r="T314" s="39">
        <f t="shared" si="309"/>
        <v>8.4905660377358352</v>
      </c>
      <c r="U314" s="39">
        <f t="shared" si="309"/>
        <v>8.4905660377358352</v>
      </c>
      <c r="Z314" s="39">
        <f t="shared" si="310"/>
        <v>6</v>
      </c>
      <c r="AA314" s="39">
        <f t="shared" si="310"/>
        <v>11</v>
      </c>
      <c r="AB314" s="39">
        <f t="shared" si="310"/>
        <v>7</v>
      </c>
      <c r="AC314" s="39">
        <f t="shared" si="310"/>
        <v>9</v>
      </c>
      <c r="AD314" s="39">
        <f t="shared" si="310"/>
        <v>15</v>
      </c>
      <c r="AE314" s="39">
        <f t="shared" si="310"/>
        <v>26</v>
      </c>
    </row>
    <row r="315" spans="3:31" s="39" customFormat="1" outlineLevel="1"/>
    <row r="316" spans="3:31" s="39" customFormat="1" ht="19" outlineLevel="1">
      <c r="D316" s="40" t="s">
        <v>36</v>
      </c>
    </row>
    <row r="317" spans="3:31" s="39" customFormat="1" outlineLevel="1">
      <c r="D317" s="39" t="s">
        <v>208</v>
      </c>
      <c r="G317" s="41">
        <f t="shared" ref="G317:K320" si="311">G311/G$310</f>
        <v>0.16666666666666666</v>
      </c>
      <c r="H317" s="41">
        <f t="shared" si="311"/>
        <v>0.10309278350515463</v>
      </c>
      <c r="I317" s="41">
        <f t="shared" si="311"/>
        <v>0.21243523316062177</v>
      </c>
      <c r="J317" s="41">
        <f>J311/J$310</f>
        <v>0.27814569536423839</v>
      </c>
      <c r="K317" s="41">
        <f>K311/K$310</f>
        <v>0.12264150943396226</v>
      </c>
      <c r="L317" s="42">
        <f>K317-1%</f>
        <v>0.11264150943396227</v>
      </c>
      <c r="M317" s="42">
        <f t="shared" ref="M317:P317" si="312">L317-1%</f>
        <v>0.10264150943396227</v>
      </c>
      <c r="N317" s="42">
        <f t="shared" si="312"/>
        <v>9.264150943396228E-2</v>
      </c>
      <c r="O317" s="42">
        <f t="shared" si="312"/>
        <v>8.2641509433962285E-2</v>
      </c>
      <c r="P317" s="42">
        <f t="shared" si="312"/>
        <v>7.264150943396229E-2</v>
      </c>
      <c r="Q317" s="42">
        <f>P317</f>
        <v>7.264150943396229E-2</v>
      </c>
      <c r="R317" s="42">
        <f t="shared" ref="R317:U317" si="313">Q317</f>
        <v>7.264150943396229E-2</v>
      </c>
      <c r="S317" s="42">
        <f t="shared" si="313"/>
        <v>7.264150943396229E-2</v>
      </c>
      <c r="T317" s="42">
        <f t="shared" si="313"/>
        <v>7.264150943396229E-2</v>
      </c>
      <c r="U317" s="42">
        <f t="shared" si="313"/>
        <v>7.264150943396229E-2</v>
      </c>
      <c r="Z317" s="41">
        <f t="shared" ref="Z317:AE320" si="314">Z311/Z$310</f>
        <v>0.19117647058823528</v>
      </c>
      <c r="AA317" s="41">
        <f t="shared" si="314"/>
        <v>0.224</v>
      </c>
      <c r="AB317" s="41">
        <f t="shared" si="314"/>
        <v>0.31496062992125984</v>
      </c>
      <c r="AC317" s="41">
        <f t="shared" si="314"/>
        <v>0.25142857142857145</v>
      </c>
      <c r="AD317" s="41">
        <f>AD311/AD$310</f>
        <v>0.1317365269461078</v>
      </c>
      <c r="AE317" s="41">
        <f>AE311/AE$310</f>
        <v>0.1184573002754821</v>
      </c>
    </row>
    <row r="318" spans="3:31" s="39" customFormat="1" outlineLevel="1">
      <c r="D318" s="39" t="s">
        <v>209</v>
      </c>
      <c r="G318" s="41">
        <f t="shared" si="311"/>
        <v>0.4</v>
      </c>
      <c r="H318" s="41">
        <f t="shared" si="311"/>
        <v>0.38144329896907214</v>
      </c>
      <c r="I318" s="41">
        <f t="shared" si="311"/>
        <v>0.45077720207253885</v>
      </c>
      <c r="J318" s="41">
        <f t="shared" si="311"/>
        <v>0.41390728476821192</v>
      </c>
      <c r="K318" s="41">
        <f t="shared" si="311"/>
        <v>0.31509433962264149</v>
      </c>
      <c r="L318" s="42">
        <v>0.35</v>
      </c>
      <c r="M318" s="42">
        <v>0.35</v>
      </c>
      <c r="N318" s="42">
        <v>0.35</v>
      </c>
      <c r="O318" s="42">
        <v>0.35</v>
      </c>
      <c r="P318" s="42">
        <v>0.35</v>
      </c>
      <c r="Q318" s="42">
        <v>0.35</v>
      </c>
      <c r="R318" s="42">
        <v>0.35</v>
      </c>
      <c r="S318" s="42">
        <v>0.35</v>
      </c>
      <c r="T318" s="42">
        <v>0.35</v>
      </c>
      <c r="U318" s="42">
        <v>0.35</v>
      </c>
      <c r="Z318" s="41">
        <f t="shared" si="314"/>
        <v>0.48529411764705882</v>
      </c>
      <c r="AA318" s="41">
        <f t="shared" si="314"/>
        <v>0.432</v>
      </c>
      <c r="AB318" s="41">
        <f t="shared" si="314"/>
        <v>0.39370078740157483</v>
      </c>
      <c r="AC318" s="41">
        <f t="shared" si="314"/>
        <v>0.42857142857142855</v>
      </c>
      <c r="AD318" s="41">
        <f t="shared" si="314"/>
        <v>0.3413173652694611</v>
      </c>
      <c r="AE318" s="41">
        <f t="shared" si="314"/>
        <v>0.30303030303030304</v>
      </c>
    </row>
    <row r="319" spans="3:31" s="39" customFormat="1" outlineLevel="1">
      <c r="D319" s="39" t="s">
        <v>212</v>
      </c>
      <c r="G319" s="41">
        <f t="shared" si="311"/>
        <v>0.36666666666666664</v>
      </c>
      <c r="H319" s="41">
        <f t="shared" si="311"/>
        <v>0.41237113402061853</v>
      </c>
      <c r="I319" s="41">
        <f t="shared" si="311"/>
        <v>0.24870466321243523</v>
      </c>
      <c r="J319" s="41">
        <f t="shared" si="311"/>
        <v>0.25496688741721857</v>
      </c>
      <c r="K319" s="41">
        <f t="shared" si="311"/>
        <v>0.48490566037735849</v>
      </c>
      <c r="L319" s="42">
        <f>K319+1%</f>
        <v>0.4949056603773585</v>
      </c>
      <c r="M319" s="42">
        <f t="shared" ref="M319:P319" si="315">L319+1%</f>
        <v>0.50490566037735851</v>
      </c>
      <c r="N319" s="42">
        <f t="shared" si="315"/>
        <v>0.51490566037735852</v>
      </c>
      <c r="O319" s="42">
        <f t="shared" si="315"/>
        <v>0.52490566037735853</v>
      </c>
      <c r="P319" s="42">
        <f t="shared" si="315"/>
        <v>0.53490566037735854</v>
      </c>
      <c r="Q319" s="42">
        <f>P319</f>
        <v>0.53490566037735854</v>
      </c>
      <c r="R319" s="42">
        <f t="shared" ref="R319:U319" si="316">Q319</f>
        <v>0.53490566037735854</v>
      </c>
      <c r="S319" s="42">
        <f t="shared" si="316"/>
        <v>0.53490566037735854</v>
      </c>
      <c r="T319" s="42">
        <f t="shared" si="316"/>
        <v>0.53490566037735854</v>
      </c>
      <c r="U319" s="42">
        <f t="shared" si="316"/>
        <v>0.53490566037735854</v>
      </c>
      <c r="Z319" s="41">
        <f t="shared" si="314"/>
        <v>0.23529411764705882</v>
      </c>
      <c r="AA319" s="41">
        <f t="shared" si="314"/>
        <v>0.25600000000000001</v>
      </c>
      <c r="AB319" s="41">
        <f t="shared" si="314"/>
        <v>0.23622047244094488</v>
      </c>
      <c r="AC319" s="41">
        <f t="shared" si="314"/>
        <v>0.26857142857142857</v>
      </c>
      <c r="AD319" s="41">
        <f t="shared" si="314"/>
        <v>0.43712574850299402</v>
      </c>
      <c r="AE319" s="41">
        <f t="shared" si="314"/>
        <v>0.50688705234159781</v>
      </c>
    </row>
    <row r="320" spans="3:31" s="39" customFormat="1" outlineLevel="1">
      <c r="D320" s="39" t="s">
        <v>213</v>
      </c>
      <c r="G320" s="41">
        <f t="shared" si="311"/>
        <v>6.6666666666666666E-2</v>
      </c>
      <c r="H320" s="41">
        <f t="shared" si="311"/>
        <v>0.10309278350515463</v>
      </c>
      <c r="I320" s="41">
        <f t="shared" si="311"/>
        <v>8.8082901554404139E-2</v>
      </c>
      <c r="J320" s="41">
        <f t="shared" si="311"/>
        <v>5.2980132450331126E-2</v>
      </c>
      <c r="K320" s="41">
        <f t="shared" si="311"/>
        <v>7.7358490566037733E-2</v>
      </c>
      <c r="L320" s="41">
        <f t="shared" ref="L320:U320" si="317">1-L317-L318-L319</f>
        <v>4.2452830188679291E-2</v>
      </c>
      <c r="M320" s="41">
        <f t="shared" si="317"/>
        <v>4.245283018867918E-2</v>
      </c>
      <c r="N320" s="41">
        <f t="shared" si="317"/>
        <v>4.245283018867918E-2</v>
      </c>
      <c r="O320" s="41">
        <f t="shared" si="317"/>
        <v>4.245283018867918E-2</v>
      </c>
      <c r="P320" s="41">
        <f t="shared" si="317"/>
        <v>4.245283018867918E-2</v>
      </c>
      <c r="Q320" s="41">
        <f t="shared" si="317"/>
        <v>4.245283018867918E-2</v>
      </c>
      <c r="R320" s="41">
        <f t="shared" si="317"/>
        <v>4.245283018867918E-2</v>
      </c>
      <c r="S320" s="41">
        <f t="shared" si="317"/>
        <v>4.245283018867918E-2</v>
      </c>
      <c r="T320" s="41">
        <f t="shared" si="317"/>
        <v>4.245283018867918E-2</v>
      </c>
      <c r="U320" s="41">
        <f t="shared" si="317"/>
        <v>4.245283018867918E-2</v>
      </c>
      <c r="Z320" s="41">
        <f t="shared" si="314"/>
        <v>8.8235294117647065E-2</v>
      </c>
      <c r="AA320" s="41">
        <f t="shared" si="314"/>
        <v>8.7999999999999995E-2</v>
      </c>
      <c r="AB320" s="41">
        <f t="shared" si="314"/>
        <v>5.5118110236220472E-2</v>
      </c>
      <c r="AC320" s="41">
        <f t="shared" si="314"/>
        <v>5.1428571428571428E-2</v>
      </c>
      <c r="AD320" s="41">
        <f t="shared" si="314"/>
        <v>8.9820359281437126E-2</v>
      </c>
      <c r="AE320" s="41">
        <f t="shared" si="314"/>
        <v>7.1625344352617082E-2</v>
      </c>
    </row>
    <row r="321" spans="2:31">
      <c r="C321" s="1" t="s">
        <v>200</v>
      </c>
      <c r="F321" s="1">
        <f t="shared" ref="F321:I321" si="318">F288</f>
        <v>146</v>
      </c>
      <c r="G321" s="1">
        <f t="shared" si="318"/>
        <v>176</v>
      </c>
      <c r="H321" s="1">
        <f t="shared" si="318"/>
        <v>273</v>
      </c>
      <c r="I321" s="1">
        <f t="shared" si="318"/>
        <v>466</v>
      </c>
      <c r="J321" s="1">
        <f>J288</f>
        <v>768</v>
      </c>
      <c r="K321" s="1">
        <f>K288</f>
        <v>1298</v>
      </c>
      <c r="L321" s="1">
        <f t="shared" ref="L321:U321" si="319">L306+L307+L309</f>
        <v>1698</v>
      </c>
      <c r="M321" s="1">
        <f t="shared" si="319"/>
        <v>2098</v>
      </c>
      <c r="N321" s="1">
        <f t="shared" si="319"/>
        <v>2398</v>
      </c>
      <c r="O321" s="1">
        <f t="shared" si="319"/>
        <v>2698</v>
      </c>
      <c r="P321" s="1">
        <f t="shared" si="319"/>
        <v>2998</v>
      </c>
      <c r="Q321" s="1">
        <f t="shared" si="319"/>
        <v>3298</v>
      </c>
      <c r="R321" s="1">
        <f t="shared" si="319"/>
        <v>3498</v>
      </c>
      <c r="S321" s="1">
        <f t="shared" si="319"/>
        <v>3698</v>
      </c>
      <c r="T321" s="1">
        <f t="shared" si="319"/>
        <v>3898</v>
      </c>
      <c r="U321" s="1">
        <f t="shared" si="319"/>
        <v>4098</v>
      </c>
      <c r="Y321" s="1">
        <f t="shared" ref="Y321:AE321" si="320">Y288</f>
        <v>273</v>
      </c>
      <c r="Z321" s="1">
        <f t="shared" si="320"/>
        <v>341</v>
      </c>
      <c r="AA321" s="1">
        <f t="shared" si="320"/>
        <v>466</v>
      </c>
      <c r="AB321" s="1">
        <f t="shared" si="320"/>
        <v>593</v>
      </c>
      <c r="AC321" s="1">
        <f t="shared" si="320"/>
        <v>768</v>
      </c>
      <c r="AD321" s="1">
        <f t="shared" si="320"/>
        <v>935</v>
      </c>
      <c r="AE321" s="1">
        <f t="shared" si="320"/>
        <v>1298</v>
      </c>
    </row>
    <row r="323" spans="2:31">
      <c r="B323" s="1" t="s">
        <v>218</v>
      </c>
      <c r="F323" s="1">
        <f>F400/F335</f>
        <v>91.738767001225966</v>
      </c>
      <c r="G323" s="1">
        <f>G400/G335</f>
        <v>94.497551919038372</v>
      </c>
      <c r="H323" s="1">
        <f>H400/H335</f>
        <v>97.693416171532036</v>
      </c>
      <c r="I323" s="1">
        <f>I400/I335</f>
        <v>101.06122802510454</v>
      </c>
      <c r="J323" s="1">
        <f>J400/J335</f>
        <v>105.17560806628039</v>
      </c>
      <c r="K323" s="1">
        <f t="shared" ref="K323:U323" si="321">K400/K335</f>
        <v>110.06473229703191</v>
      </c>
      <c r="L323" s="1">
        <f t="shared" si="321"/>
        <v>113.80838947074864</v>
      </c>
      <c r="M323" s="1">
        <f t="shared" si="321"/>
        <v>119.44573976396563</v>
      </c>
      <c r="N323" s="1">
        <f t="shared" si="321"/>
        <v>124.24340217455392</v>
      </c>
      <c r="O323" s="1">
        <f t="shared" si="321"/>
        <v>129.32904988127601</v>
      </c>
      <c r="P323" s="1">
        <f t="shared" si="321"/>
        <v>134.63655505850795</v>
      </c>
      <c r="Q323" s="1">
        <f t="shared" si="321"/>
        <v>140.21195618019587</v>
      </c>
      <c r="R323" s="1">
        <f t="shared" si="321"/>
        <v>146.09067742948608</v>
      </c>
      <c r="S323" s="1">
        <f t="shared" si="321"/>
        <v>152.26562236611665</v>
      </c>
      <c r="T323" s="1">
        <f t="shared" si="321"/>
        <v>158.69306429635492</v>
      </c>
      <c r="U323" s="1">
        <f t="shared" si="321"/>
        <v>165.3818567241432</v>
      </c>
      <c r="X323" s="1">
        <f>X400/X335</f>
        <v>96.97145936616802</v>
      </c>
      <c r="Y323" s="1">
        <f t="shared" ref="Y323:AD323" si="322">Y400/Y335</f>
        <v>98.289900616970556</v>
      </c>
      <c r="Z323" s="1">
        <f t="shared" si="322"/>
        <v>100.2459681132198</v>
      </c>
      <c r="AA323" s="1">
        <f t="shared" si="322"/>
        <v>101.71561649304977</v>
      </c>
      <c r="AB323" s="1">
        <f t="shared" si="322"/>
        <v>104.4256909400615</v>
      </c>
      <c r="AC323" s="1">
        <f t="shared" si="322"/>
        <v>105.78037320504474</v>
      </c>
      <c r="AD323" s="1">
        <f t="shared" si="322"/>
        <v>112.82333771189123</v>
      </c>
    </row>
    <row r="324" spans="2:31">
      <c r="C324" s="1" t="s">
        <v>208</v>
      </c>
      <c r="F324" s="2">
        <v>93.2</v>
      </c>
      <c r="G324" s="2">
        <v>95.3</v>
      </c>
      <c r="H324" s="2">
        <v>98.3</v>
      </c>
      <c r="I324" s="2">
        <v>106.1</v>
      </c>
      <c r="J324" s="2">
        <v>110.1</v>
      </c>
      <c r="K324" s="2">
        <v>116.2</v>
      </c>
      <c r="L324" s="1">
        <f>K324*(1+L330)</f>
        <v>122.01</v>
      </c>
      <c r="M324" s="1">
        <f t="shared" ref="M324:U324" si="323">L324*(1+M330)</f>
        <v>128.1105</v>
      </c>
      <c r="N324" s="1">
        <f t="shared" si="323"/>
        <v>134.51602500000001</v>
      </c>
      <c r="O324" s="1">
        <f t="shared" si="323"/>
        <v>141.24182625000003</v>
      </c>
      <c r="P324" s="1">
        <f t="shared" si="323"/>
        <v>148.30391756250003</v>
      </c>
      <c r="Q324" s="1">
        <f t="shared" si="323"/>
        <v>155.71911344062505</v>
      </c>
      <c r="R324" s="1">
        <f t="shared" si="323"/>
        <v>163.50506911265632</v>
      </c>
      <c r="S324" s="1">
        <f t="shared" si="323"/>
        <v>171.68032256828914</v>
      </c>
      <c r="T324" s="1">
        <f t="shared" si="323"/>
        <v>180.26433869670362</v>
      </c>
      <c r="U324" s="1">
        <f t="shared" si="323"/>
        <v>189.2775556315388</v>
      </c>
      <c r="X324" s="2">
        <v>101.2</v>
      </c>
      <c r="Y324" s="1">
        <f>Y402/Y336</f>
        <v>95.74447110410118</v>
      </c>
      <c r="Z324" s="2">
        <v>106</v>
      </c>
      <c r="AA324" s="1">
        <f>AA402/AA336</f>
        <v>106.18066949304115</v>
      </c>
      <c r="AB324" s="2">
        <v>110</v>
      </c>
      <c r="AC324" s="1">
        <f>AC402/AC336</f>
        <v>110.17933861440036</v>
      </c>
      <c r="AD324" s="2">
        <v>118.1</v>
      </c>
    </row>
    <row r="325" spans="2:31">
      <c r="C325" s="1" t="s">
        <v>209</v>
      </c>
      <c r="F325" s="2">
        <v>86.1</v>
      </c>
      <c r="G325" s="2">
        <v>88.5</v>
      </c>
      <c r="H325" s="2">
        <v>92.6</v>
      </c>
      <c r="I325" s="2">
        <v>94.8</v>
      </c>
      <c r="J325" s="2">
        <v>99.4</v>
      </c>
      <c r="K325" s="2">
        <v>105.7</v>
      </c>
      <c r="L325" s="1">
        <f t="shared" ref="L325:U327" si="324">K325*(1+L331)</f>
        <v>110.98500000000001</v>
      </c>
      <c r="M325" s="1">
        <f t="shared" si="324"/>
        <v>116.53425000000001</v>
      </c>
      <c r="N325" s="1">
        <f t="shared" si="324"/>
        <v>122.36096250000001</v>
      </c>
      <c r="O325" s="1">
        <f t="shared" si="324"/>
        <v>128.47901062500003</v>
      </c>
      <c r="P325" s="1">
        <f t="shared" si="324"/>
        <v>134.90296115625003</v>
      </c>
      <c r="Q325" s="1">
        <f t="shared" si="324"/>
        <v>141.64810921406254</v>
      </c>
      <c r="R325" s="1">
        <f t="shared" si="324"/>
        <v>148.73051467476569</v>
      </c>
      <c r="S325" s="1">
        <f t="shared" si="324"/>
        <v>156.16704040850396</v>
      </c>
      <c r="T325" s="1">
        <f t="shared" si="324"/>
        <v>163.97539242892918</v>
      </c>
      <c r="U325" s="1">
        <f t="shared" si="324"/>
        <v>172.17416205037566</v>
      </c>
      <c r="X325" s="2">
        <v>90.7</v>
      </c>
      <c r="Y325" s="1">
        <f>Y403/Y337</f>
        <v>94.196676152591934</v>
      </c>
      <c r="Z325" s="2">
        <v>94.2</v>
      </c>
      <c r="AA325" s="1">
        <f>AA403/AA337</f>
        <v>95.312375500136298</v>
      </c>
      <c r="AB325" s="2">
        <v>98.4</v>
      </c>
      <c r="AC325" s="1">
        <f>AC403/AC337</f>
        <v>100.23652640516673</v>
      </c>
      <c r="AD325" s="2">
        <v>107.4</v>
      </c>
    </row>
    <row r="326" spans="2:31">
      <c r="C326" s="1" t="s">
        <v>212</v>
      </c>
      <c r="F326" s="2">
        <v>89.8</v>
      </c>
      <c r="G326" s="2">
        <v>92.8</v>
      </c>
      <c r="H326" s="2">
        <v>94.5</v>
      </c>
      <c r="I326" s="2">
        <v>92.1</v>
      </c>
      <c r="J326" s="2">
        <v>94.9</v>
      </c>
      <c r="K326" s="2">
        <v>100.2</v>
      </c>
      <c r="L326" s="1">
        <f t="shared" si="324"/>
        <v>104.20800000000001</v>
      </c>
      <c r="M326" s="1">
        <f t="shared" si="324"/>
        <v>108.37632000000002</v>
      </c>
      <c r="N326" s="1">
        <f t="shared" si="324"/>
        <v>112.71137280000002</v>
      </c>
      <c r="O326" s="1">
        <f t="shared" si="324"/>
        <v>117.21982771200003</v>
      </c>
      <c r="P326" s="1">
        <f t="shared" si="324"/>
        <v>121.90862082048002</v>
      </c>
      <c r="Q326" s="1">
        <f t="shared" si="324"/>
        <v>126.78496565329922</v>
      </c>
      <c r="R326" s="1">
        <f t="shared" si="324"/>
        <v>131.8563642794312</v>
      </c>
      <c r="S326" s="1">
        <f t="shared" si="324"/>
        <v>137.13061885060847</v>
      </c>
      <c r="T326" s="1">
        <f t="shared" si="324"/>
        <v>142.6158436046328</v>
      </c>
      <c r="U326" s="1">
        <f t="shared" si="324"/>
        <v>148.32047734881812</v>
      </c>
      <c r="X326" s="2">
        <v>90.5</v>
      </c>
      <c r="Y326" s="1">
        <f>Y404/Y338</f>
        <v>97.613010491557219</v>
      </c>
      <c r="Z326" s="2">
        <v>91.8</v>
      </c>
      <c r="AA326" s="1">
        <f>AA404/AA338</f>
        <v>92.313825674965514</v>
      </c>
      <c r="AB326" s="2">
        <v>94.8</v>
      </c>
      <c r="AC326" s="1">
        <f>AC404/AC338</f>
        <v>94.978128196473776</v>
      </c>
      <c r="AD326" s="2">
        <v>101.8</v>
      </c>
    </row>
    <row r="327" spans="2:31">
      <c r="C327" s="1" t="s">
        <v>213</v>
      </c>
      <c r="F327" s="2">
        <v>215.2</v>
      </c>
      <c r="G327" s="2">
        <v>215.4</v>
      </c>
      <c r="H327" s="2">
        <v>179.6</v>
      </c>
      <c r="I327" s="2">
        <v>199.3</v>
      </c>
      <c r="J327" s="2">
        <v>185.3</v>
      </c>
      <c r="K327" s="2">
        <v>192.6</v>
      </c>
      <c r="L327" s="1">
        <f t="shared" si="324"/>
        <v>200.304</v>
      </c>
      <c r="M327" s="1">
        <f t="shared" si="324"/>
        <v>208.31616</v>
      </c>
      <c r="N327" s="1">
        <f t="shared" si="324"/>
        <v>216.64880640000001</v>
      </c>
      <c r="O327" s="1">
        <f t="shared" si="324"/>
        <v>225.31475865600001</v>
      </c>
      <c r="P327" s="1">
        <f t="shared" si="324"/>
        <v>234.32734900224003</v>
      </c>
      <c r="Q327" s="1">
        <f t="shared" si="324"/>
        <v>243.70044296232965</v>
      </c>
      <c r="R327" s="1">
        <f t="shared" si="324"/>
        <v>253.44846068082285</v>
      </c>
      <c r="S327" s="1">
        <f t="shared" si="324"/>
        <v>263.58639910805579</v>
      </c>
      <c r="T327" s="1">
        <f t="shared" si="324"/>
        <v>274.12985507237801</v>
      </c>
      <c r="U327" s="1">
        <f t="shared" si="324"/>
        <v>285.09504927527314</v>
      </c>
      <c r="X327" s="2">
        <v>211.5</v>
      </c>
      <c r="Y327" s="1">
        <f>Y405/Y339</f>
        <v>163.94627654057339</v>
      </c>
      <c r="Z327" s="2">
        <v>196.1</v>
      </c>
      <c r="AA327" s="1">
        <f>AA405/AA339</f>
        <v>201.51511649567243</v>
      </c>
      <c r="AB327" s="2">
        <v>185.5</v>
      </c>
      <c r="AC327" s="1">
        <f>AC405/AC339</f>
        <v>185.15414232366354</v>
      </c>
      <c r="AD327" s="2">
        <v>191.3</v>
      </c>
    </row>
    <row r="329" spans="2:31" s="26" customFormat="1" ht="19">
      <c r="C329" s="38" t="s">
        <v>30</v>
      </c>
      <c r="G329" s="8">
        <f t="shared" ref="G329:U330" si="325">G323/F323-1</f>
        <v>3.0072182219056165E-2</v>
      </c>
      <c r="H329" s="8">
        <f t="shared" si="325"/>
        <v>3.3819545454804478E-2</v>
      </c>
      <c r="I329" s="8">
        <f t="shared" si="325"/>
        <v>3.447327348712248E-2</v>
      </c>
      <c r="J329" s="8">
        <f t="shared" si="325"/>
        <v>4.0711755849174969E-2</v>
      </c>
      <c r="K329" s="8">
        <f t="shared" si="325"/>
        <v>4.6485343138405799E-2</v>
      </c>
      <c r="L329" s="8">
        <f t="shared" si="325"/>
        <v>3.4013231083084072E-2</v>
      </c>
      <c r="M329" s="8">
        <f t="shared" si="325"/>
        <v>4.9533697115237141E-2</v>
      </c>
      <c r="N329" s="8">
        <f t="shared" si="325"/>
        <v>4.0166040413570636E-2</v>
      </c>
      <c r="O329" s="8">
        <f t="shared" si="325"/>
        <v>4.0932939839952942E-2</v>
      </c>
      <c r="P329" s="8">
        <f t="shared" si="325"/>
        <v>4.1038770346679465E-2</v>
      </c>
      <c r="Q329" s="8">
        <f t="shared" si="325"/>
        <v>4.141075296575325E-2</v>
      </c>
      <c r="R329" s="8">
        <f t="shared" si="325"/>
        <v>4.1927389143155969E-2</v>
      </c>
      <c r="S329" s="8">
        <f t="shared" si="325"/>
        <v>4.2267891731907703E-2</v>
      </c>
      <c r="T329" s="8">
        <f t="shared" si="325"/>
        <v>4.2212035982644558E-2</v>
      </c>
      <c r="U329" s="8">
        <f t="shared" si="325"/>
        <v>4.2149242359433847E-2</v>
      </c>
      <c r="Z329" s="8">
        <f>Z323/X323-1</f>
        <v>3.3767757734645576E-2</v>
      </c>
      <c r="AA329" s="8">
        <f t="shared" ref="AA329:AD333" si="326">AA323/Y323-1</f>
        <v>3.485318282525296E-2</v>
      </c>
      <c r="AB329" s="8">
        <f t="shared" si="326"/>
        <v>4.1694672668740607E-2</v>
      </c>
      <c r="AC329" s="8">
        <f t="shared" si="326"/>
        <v>3.9961972921559452E-2</v>
      </c>
      <c r="AD329" s="8">
        <f t="shared" si="326"/>
        <v>8.041744034664644E-2</v>
      </c>
      <c r="AE329" s="8"/>
    </row>
    <row r="330" spans="2:31" s="26" customFormat="1">
      <c r="C330" s="26" t="s">
        <v>208</v>
      </c>
      <c r="G330" s="8">
        <f>G324/F324-1</f>
        <v>2.2532188841201561E-2</v>
      </c>
      <c r="H330" s="8">
        <f t="shared" si="325"/>
        <v>3.147953830010497E-2</v>
      </c>
      <c r="I330" s="8">
        <f t="shared" si="325"/>
        <v>7.9348931841302095E-2</v>
      </c>
      <c r="J330" s="8">
        <f t="shared" si="325"/>
        <v>3.7700282752120673E-2</v>
      </c>
      <c r="K330" s="8">
        <f t="shared" si="325"/>
        <v>5.5404178019981876E-2</v>
      </c>
      <c r="L330" s="9">
        <v>0.05</v>
      </c>
      <c r="M330" s="9">
        <v>0.05</v>
      </c>
      <c r="N330" s="9">
        <v>0.05</v>
      </c>
      <c r="O330" s="9">
        <v>0.05</v>
      </c>
      <c r="P330" s="9">
        <v>0.05</v>
      </c>
      <c r="Q330" s="9">
        <v>0.05</v>
      </c>
      <c r="R330" s="9">
        <v>0.05</v>
      </c>
      <c r="S330" s="9">
        <v>0.05</v>
      </c>
      <c r="T330" s="9">
        <v>0.05</v>
      </c>
      <c r="U330" s="9">
        <v>0.05</v>
      </c>
      <c r="Z330" s="8">
        <f t="shared" ref="Z330:Z333" si="327">Z324/X324-1</f>
        <v>4.743083003952564E-2</v>
      </c>
      <c r="AA330" s="8">
        <f t="shared" si="326"/>
        <v>0.10900053307091628</v>
      </c>
      <c r="AB330" s="8">
        <f t="shared" si="326"/>
        <v>3.7735849056603765E-2</v>
      </c>
      <c r="AC330" s="8">
        <f t="shared" si="326"/>
        <v>3.7659106318041147E-2</v>
      </c>
      <c r="AD330" s="8">
        <f t="shared" si="326"/>
        <v>7.36363636363635E-2</v>
      </c>
      <c r="AE330" s="8"/>
    </row>
    <row r="331" spans="2:31" s="26" customFormat="1">
      <c r="C331" s="26" t="s">
        <v>209</v>
      </c>
      <c r="G331" s="8">
        <f t="shared" ref="G331:K333" si="328">G325/F325-1</f>
        <v>2.7874564459930307E-2</v>
      </c>
      <c r="H331" s="8">
        <f t="shared" si="328"/>
        <v>4.6327683615819071E-2</v>
      </c>
      <c r="I331" s="8">
        <f t="shared" si="328"/>
        <v>2.3758099352051865E-2</v>
      </c>
      <c r="J331" s="8">
        <f t="shared" si="328"/>
        <v>4.8523206751055037E-2</v>
      </c>
      <c r="K331" s="8">
        <f t="shared" si="328"/>
        <v>6.3380281690140761E-2</v>
      </c>
      <c r="L331" s="9">
        <v>0.05</v>
      </c>
      <c r="M331" s="9">
        <v>0.05</v>
      </c>
      <c r="N331" s="9">
        <v>0.05</v>
      </c>
      <c r="O331" s="9">
        <v>0.05</v>
      </c>
      <c r="P331" s="9">
        <v>0.05</v>
      </c>
      <c r="Q331" s="9">
        <v>0.05</v>
      </c>
      <c r="R331" s="9">
        <v>0.05</v>
      </c>
      <c r="S331" s="9">
        <v>0.05</v>
      </c>
      <c r="T331" s="9">
        <v>0.05</v>
      </c>
      <c r="U331" s="9">
        <v>0.05</v>
      </c>
      <c r="Z331" s="8">
        <f t="shared" si="327"/>
        <v>3.8588754134509351E-2</v>
      </c>
      <c r="AA331" s="8">
        <f t="shared" si="326"/>
        <v>1.1844360046600944E-2</v>
      </c>
      <c r="AB331" s="8">
        <f t="shared" si="326"/>
        <v>4.4585987261146487E-2</v>
      </c>
      <c r="AC331" s="8">
        <f t="shared" si="326"/>
        <v>5.1663290094195569E-2</v>
      </c>
      <c r="AD331" s="8">
        <f t="shared" si="326"/>
        <v>9.1463414634146423E-2</v>
      </c>
      <c r="AE331" s="8"/>
    </row>
    <row r="332" spans="2:31" s="26" customFormat="1">
      <c r="C332" s="26" t="s">
        <v>212</v>
      </c>
      <c r="G332" s="8">
        <f t="shared" si="328"/>
        <v>3.3407572383073569E-2</v>
      </c>
      <c r="H332" s="8">
        <f t="shared" si="328"/>
        <v>1.8318965517241326E-2</v>
      </c>
      <c r="I332" s="8">
        <f t="shared" si="328"/>
        <v>-2.5396825396825418E-2</v>
      </c>
      <c r="J332" s="8">
        <f t="shared" si="328"/>
        <v>3.0401737242128357E-2</v>
      </c>
      <c r="K332" s="8">
        <f t="shared" si="328"/>
        <v>5.5848261327713367E-2</v>
      </c>
      <c r="L332" s="9">
        <v>0.04</v>
      </c>
      <c r="M332" s="9">
        <v>0.04</v>
      </c>
      <c r="N332" s="9">
        <v>0.04</v>
      </c>
      <c r="O332" s="9">
        <v>0.04</v>
      </c>
      <c r="P332" s="9">
        <v>0.04</v>
      </c>
      <c r="Q332" s="9">
        <v>0.04</v>
      </c>
      <c r="R332" s="9">
        <v>0.04</v>
      </c>
      <c r="S332" s="9">
        <v>0.04</v>
      </c>
      <c r="T332" s="9">
        <v>0.04</v>
      </c>
      <c r="U332" s="9">
        <v>0.04</v>
      </c>
      <c r="Z332" s="8">
        <f t="shared" si="327"/>
        <v>1.436464088397793E-2</v>
      </c>
      <c r="AA332" s="8">
        <f t="shared" si="326"/>
        <v>-5.4287689621559609E-2</v>
      </c>
      <c r="AB332" s="8">
        <f t="shared" si="326"/>
        <v>3.2679738562091609E-2</v>
      </c>
      <c r="AC332" s="8">
        <f t="shared" si="326"/>
        <v>2.8861359628721273E-2</v>
      </c>
      <c r="AD332" s="8">
        <f t="shared" si="326"/>
        <v>7.3839662447257481E-2</v>
      </c>
      <c r="AE332" s="8"/>
    </row>
    <row r="333" spans="2:31" s="26" customFormat="1">
      <c r="C333" s="26" t="s">
        <v>213</v>
      </c>
      <c r="G333" s="8">
        <f t="shared" si="328"/>
        <v>9.2936802973975219E-4</v>
      </c>
      <c r="H333" s="8">
        <f t="shared" si="328"/>
        <v>-0.16620241411327763</v>
      </c>
      <c r="I333" s="8">
        <f t="shared" si="328"/>
        <v>0.10968819599109136</v>
      </c>
      <c r="J333" s="8">
        <f t="shared" si="328"/>
        <v>-7.0245860511791269E-2</v>
      </c>
      <c r="K333" s="8">
        <f t="shared" si="328"/>
        <v>3.9395574743658734E-2</v>
      </c>
      <c r="L333" s="9">
        <v>0.04</v>
      </c>
      <c r="M333" s="9">
        <v>0.04</v>
      </c>
      <c r="N333" s="9">
        <v>0.04</v>
      </c>
      <c r="O333" s="9">
        <v>0.04</v>
      </c>
      <c r="P333" s="9">
        <v>0.04</v>
      </c>
      <c r="Q333" s="9">
        <v>0.04</v>
      </c>
      <c r="R333" s="9">
        <v>0.04</v>
      </c>
      <c r="S333" s="9">
        <v>0.04</v>
      </c>
      <c r="T333" s="9">
        <v>0.04</v>
      </c>
      <c r="U333" s="9">
        <v>0.04</v>
      </c>
      <c r="Z333" s="8">
        <f t="shared" si="327"/>
        <v>-7.2813238770685573E-2</v>
      </c>
      <c r="AA333" s="8">
        <f t="shared" si="326"/>
        <v>0.22915335894073507</v>
      </c>
      <c r="AB333" s="8">
        <f t="shared" si="326"/>
        <v>-5.4054054054054057E-2</v>
      </c>
      <c r="AC333" s="8">
        <f t="shared" si="326"/>
        <v>-8.1189810752287928E-2</v>
      </c>
      <c r="AD333" s="8">
        <f t="shared" si="326"/>
        <v>3.126684636118604E-2</v>
      </c>
      <c r="AE333" s="8"/>
    </row>
    <row r="335" spans="2:31" s="6" customFormat="1">
      <c r="B335" s="6" t="s">
        <v>219</v>
      </c>
      <c r="F335" s="6">
        <f t="shared" ref="F335:I335" si="329">F336+F337+F338+F339</f>
        <v>63.044350704241651</v>
      </c>
      <c r="G335" s="6">
        <f t="shared" si="329"/>
        <v>81.090502816043539</v>
      </c>
      <c r="H335" s="6">
        <f t="shared" si="329"/>
        <v>106.57789857321066</v>
      </c>
      <c r="I335" s="6">
        <f t="shared" si="329"/>
        <v>163.58104213708322</v>
      </c>
      <c r="J335" s="6">
        <f>J336+J337+J338+J339</f>
        <v>244.13820344940081</v>
      </c>
      <c r="K335" s="6">
        <f>K336+K337+K338+K339</f>
        <v>250.50156780096498</v>
      </c>
      <c r="L335" s="6">
        <f t="shared" ref="L335:U335" si="330">L336+L337+L338+L339</f>
        <v>550.57654838722669</v>
      </c>
      <c r="M335" s="6">
        <f t="shared" si="330"/>
        <v>697.98100168097289</v>
      </c>
      <c r="N335" s="6">
        <f t="shared" si="330"/>
        <v>794.85152946083974</v>
      </c>
      <c r="O335" s="6">
        <f t="shared" si="330"/>
        <v>880.97663354237318</v>
      </c>
      <c r="P335" s="6">
        <f t="shared" si="330"/>
        <v>972.4734536537045</v>
      </c>
      <c r="Q335" s="6">
        <f t="shared" si="330"/>
        <v>1074.9275502784903</v>
      </c>
      <c r="R335" s="6">
        <f t="shared" si="330"/>
        <v>1159.9025548367597</v>
      </c>
      <c r="S335" s="6">
        <f t="shared" si="330"/>
        <v>1230.8415026802836</v>
      </c>
      <c r="T335" s="6">
        <f t="shared" si="330"/>
        <v>1295.3023657831473</v>
      </c>
      <c r="U335" s="6">
        <f t="shared" si="330"/>
        <v>1363.413827092033</v>
      </c>
      <c r="X335" s="6">
        <f t="shared" ref="X335:AA335" si="331">X336+X337+X338+X339</f>
        <v>48.217589284123903</v>
      </c>
      <c r="Y335" s="6">
        <f t="shared" si="331"/>
        <v>58.360309289086743</v>
      </c>
      <c r="Z335" s="6">
        <f t="shared" si="331"/>
        <v>72.83752291915971</v>
      </c>
      <c r="AA335" s="6">
        <f t="shared" si="331"/>
        <v>90.74351921792352</v>
      </c>
      <c r="AB335" s="6">
        <f>AB336+AB337+AB338+AB339</f>
        <v>108.98959726809635</v>
      </c>
      <c r="AC335" s="6">
        <f>AC336+AC337+AC338+AC339</f>
        <v>135.14860618130444</v>
      </c>
      <c r="AD335" s="6">
        <f>AD336+AD337+AD338+AD339</f>
        <v>81.243084860747899</v>
      </c>
      <c r="AE335" s="6">
        <f>AE336+AE337+AE338+AE339</f>
        <v>169.25848294021708</v>
      </c>
    </row>
    <row r="336" spans="2:31">
      <c r="C336" s="1" t="s">
        <v>208</v>
      </c>
      <c r="F336" s="1">
        <f t="shared" ref="F336:K339" si="332">F402/F324</f>
        <v>24.858336909871245</v>
      </c>
      <c r="G336" s="1">
        <f t="shared" si="332"/>
        <v>28.475897166841555</v>
      </c>
      <c r="H336" s="1">
        <f t="shared" si="332"/>
        <v>30.103997965412006</v>
      </c>
      <c r="I336" s="1">
        <f t="shared" si="332"/>
        <v>38.03628652214892</v>
      </c>
      <c r="J336" s="1">
        <f t="shared" si="332"/>
        <v>58.870345140781112</v>
      </c>
      <c r="K336" s="1">
        <f t="shared" si="332"/>
        <v>51.037753872633395</v>
      </c>
      <c r="L336" s="1">
        <f t="shared" ref="L336:U339" si="333">L358*L364/1000000</f>
        <v>97.263556145471796</v>
      </c>
      <c r="M336" s="1">
        <f t="shared" si="333"/>
        <v>111.47946749485696</v>
      </c>
      <c r="N336" s="1">
        <f t="shared" si="333"/>
        <v>113.57416084971592</v>
      </c>
      <c r="O336" s="1">
        <f t="shared" si="333"/>
        <v>114.89500283082914</v>
      </c>
      <c r="P336" s="1">
        <f t="shared" si="333"/>
        <v>116.65644742793425</v>
      </c>
      <c r="Q336" s="1">
        <f t="shared" si="333"/>
        <v>120.44417349956903</v>
      </c>
      <c r="R336" s="1">
        <f t="shared" si="333"/>
        <v>123.02489691065034</v>
      </c>
      <c r="S336" s="1">
        <f t="shared" si="333"/>
        <v>124.80746960541569</v>
      </c>
      <c r="T336" s="1">
        <f t="shared" si="333"/>
        <v>125.79880925139669</v>
      </c>
      <c r="U336" s="1">
        <f t="shared" si="333"/>
        <v>127.02576837423938</v>
      </c>
      <c r="X336" s="1">
        <f>X402/X324</f>
        <v>14.101590909090907</v>
      </c>
      <c r="Y336" s="1">
        <f>H336-X336</f>
        <v>16.002407056321097</v>
      </c>
      <c r="Z336" s="1">
        <f>Z402/Z324</f>
        <v>16.983320754716981</v>
      </c>
      <c r="AA336" s="1">
        <f>I336-Z336</f>
        <v>21.052965767431939</v>
      </c>
      <c r="AB336" s="1">
        <f>AB402/AB324</f>
        <v>26.04398181818182</v>
      </c>
      <c r="AC336" s="1">
        <f>J336-AB336</f>
        <v>32.826363322599292</v>
      </c>
      <c r="AD336" s="1">
        <f>AD402/AD324</f>
        <v>17.098247248094836</v>
      </c>
      <c r="AE336" s="1">
        <f>K336-AD336</f>
        <v>33.939506624538559</v>
      </c>
    </row>
    <row r="337" spans="3:31">
      <c r="C337" s="1" t="s">
        <v>209</v>
      </c>
      <c r="F337" s="1">
        <f t="shared" si="332"/>
        <v>33.444401858304303</v>
      </c>
      <c r="G337" s="1">
        <f t="shared" si="332"/>
        <v>42.670734463276837</v>
      </c>
      <c r="H337" s="1">
        <f t="shared" si="332"/>
        <v>56.490075593952483</v>
      </c>
      <c r="I337" s="1">
        <f t="shared" si="332"/>
        <v>82.224103375527434</v>
      </c>
      <c r="J337" s="1">
        <f t="shared" si="332"/>
        <v>112.09983903420523</v>
      </c>
      <c r="K337" s="1">
        <f t="shared" si="332"/>
        <v>106.64079470198676</v>
      </c>
      <c r="L337" s="1">
        <f t="shared" si="333"/>
        <v>214.8559281200769</v>
      </c>
      <c r="M337" s="1">
        <f t="shared" si="333"/>
        <v>256.78364487581888</v>
      </c>
      <c r="N337" s="1">
        <f t="shared" si="333"/>
        <v>277.05832532736804</v>
      </c>
      <c r="O337" s="1">
        <f t="shared" si="333"/>
        <v>290.74627213106146</v>
      </c>
      <c r="P337" s="1">
        <f t="shared" si="333"/>
        <v>309.40149350214728</v>
      </c>
      <c r="Q337" s="1">
        <f t="shared" si="333"/>
        <v>333.68009352906148</v>
      </c>
      <c r="R337" s="1">
        <f t="shared" si="333"/>
        <v>351.85563221625836</v>
      </c>
      <c r="S337" s="1">
        <f t="shared" si="333"/>
        <v>365.26517510055925</v>
      </c>
      <c r="T337" s="1">
        <f t="shared" si="333"/>
        <v>376.02982827952337</v>
      </c>
      <c r="U337" s="1">
        <f t="shared" si="333"/>
        <v>387.16479947111236</v>
      </c>
      <c r="X337" s="1">
        <f>X403/X325</f>
        <v>25.794884233737594</v>
      </c>
      <c r="Y337" s="1">
        <f t="shared" ref="Y337:Y339" si="334">H337-X337</f>
        <v>30.695191360214888</v>
      </c>
      <c r="Z337" s="1">
        <f>Z403/Z325</f>
        <v>37.873556263269634</v>
      </c>
      <c r="AA337" s="1">
        <f t="shared" ref="AA337:AA339" si="335">I337-Z337</f>
        <v>44.3505471122578</v>
      </c>
      <c r="AB337" s="1">
        <f>AB403/AB325</f>
        <v>51.060782520325205</v>
      </c>
      <c r="AC337" s="1">
        <f t="shared" ref="AC337:AC339" si="336">J337-AB337</f>
        <v>61.039056513880027</v>
      </c>
      <c r="AD337" s="1">
        <f>AD403/AD325</f>
        <v>35.394674115456233</v>
      </c>
      <c r="AE337" s="1">
        <f t="shared" ref="AE337:AE339" si="337">K337-AD337</f>
        <v>71.246120586530537</v>
      </c>
    </row>
    <row r="338" spans="3:31">
      <c r="C338" s="1" t="s">
        <v>212</v>
      </c>
      <c r="F338" s="1">
        <f t="shared" si="332"/>
        <v>3.454097995545657</v>
      </c>
      <c r="G338" s="1">
        <f t="shared" si="332"/>
        <v>7.9051293103448277</v>
      </c>
      <c r="H338" s="1">
        <f t="shared" si="332"/>
        <v>16.067449735449735</v>
      </c>
      <c r="I338" s="1">
        <f t="shared" si="332"/>
        <v>36.684701411509231</v>
      </c>
      <c r="J338" s="1">
        <f t="shared" si="332"/>
        <v>60.896006322444677</v>
      </c>
      <c r="K338" s="1">
        <f t="shared" si="332"/>
        <v>81.264550898203581</v>
      </c>
      <c r="L338" s="1">
        <f t="shared" si="333"/>
        <v>216.62280622742225</v>
      </c>
      <c r="M338" s="1">
        <f t="shared" si="333"/>
        <v>295.3825750153128</v>
      </c>
      <c r="N338" s="1">
        <f t="shared" si="333"/>
        <v>365.57746047351429</v>
      </c>
      <c r="O338" s="1">
        <f t="shared" si="333"/>
        <v>432.46222205307083</v>
      </c>
      <c r="P338" s="1">
        <f t="shared" si="333"/>
        <v>499.46667779190039</v>
      </c>
      <c r="Q338" s="1">
        <f t="shared" si="333"/>
        <v>569.58202903378753</v>
      </c>
      <c r="R338" s="1">
        <f t="shared" si="333"/>
        <v>630.08775874796549</v>
      </c>
      <c r="S338" s="1">
        <f t="shared" si="333"/>
        <v>682.53990628182555</v>
      </c>
      <c r="T338" s="1">
        <f t="shared" si="333"/>
        <v>732.21106446401427</v>
      </c>
      <c r="U338" s="1">
        <f t="shared" si="333"/>
        <v>784.70973870008777</v>
      </c>
      <c r="X338" s="1">
        <f>X404/X326</f>
        <v>7.0319226519337015</v>
      </c>
      <c r="Y338" s="1">
        <f t="shared" si="334"/>
        <v>9.0355270835160333</v>
      </c>
      <c r="Z338" s="1">
        <f>Z404/Z326</f>
        <v>15.266132897603487</v>
      </c>
      <c r="AA338" s="1">
        <f t="shared" si="335"/>
        <v>21.418568513905743</v>
      </c>
      <c r="AB338" s="1">
        <f>AB404/AB326</f>
        <v>26.70938818565401</v>
      </c>
      <c r="AC338" s="1">
        <f t="shared" si="336"/>
        <v>34.186618136790671</v>
      </c>
      <c r="AD338" s="1">
        <f>AD404/AD326</f>
        <v>24.072416502946957</v>
      </c>
      <c r="AE338" s="1">
        <f t="shared" si="337"/>
        <v>57.192134395256623</v>
      </c>
    </row>
    <row r="339" spans="3:31">
      <c r="C339" s="1" t="s">
        <v>213</v>
      </c>
      <c r="F339" s="1">
        <f t="shared" si="332"/>
        <v>1.2875139405204461</v>
      </c>
      <c r="G339" s="1">
        <f t="shared" si="332"/>
        <v>2.0387418755803157</v>
      </c>
      <c r="H339" s="1">
        <f t="shared" si="332"/>
        <v>3.9163752783964365</v>
      </c>
      <c r="I339" s="1">
        <f t="shared" si="332"/>
        <v>6.6359508278976413</v>
      </c>
      <c r="J339" s="1">
        <f t="shared" si="332"/>
        <v>12.272012951969778</v>
      </c>
      <c r="K339" s="1">
        <f t="shared" si="332"/>
        <v>11.558468328141226</v>
      </c>
      <c r="L339" s="1">
        <f t="shared" si="333"/>
        <v>21.834257894255785</v>
      </c>
      <c r="M339" s="1">
        <f t="shared" si="333"/>
        <v>34.335314294984251</v>
      </c>
      <c r="N339" s="1">
        <f t="shared" si="333"/>
        <v>38.641582810241466</v>
      </c>
      <c r="O339" s="1">
        <f t="shared" si="333"/>
        <v>42.87313652741171</v>
      </c>
      <c r="P339" s="1">
        <f t="shared" si="333"/>
        <v>46.948834931722544</v>
      </c>
      <c r="Q339" s="1">
        <f t="shared" si="333"/>
        <v>51.22125421607236</v>
      </c>
      <c r="R339" s="1">
        <f t="shared" si="333"/>
        <v>54.934266961885513</v>
      </c>
      <c r="S339" s="1">
        <f t="shared" si="333"/>
        <v>58.228951692483101</v>
      </c>
      <c r="T339" s="1">
        <f t="shared" si="333"/>
        <v>61.262663788212777</v>
      </c>
      <c r="U339" s="1">
        <f t="shared" si="333"/>
        <v>64.513520546593554</v>
      </c>
      <c r="X339" s="1">
        <f>X405/X327</f>
        <v>1.289191489361702</v>
      </c>
      <c r="Y339" s="1">
        <f t="shared" si="334"/>
        <v>2.6271837890347345</v>
      </c>
      <c r="Z339" s="1">
        <f>Z405/Z327</f>
        <v>2.7145130035696075</v>
      </c>
      <c r="AA339" s="1">
        <f t="shared" si="335"/>
        <v>3.9214378243280339</v>
      </c>
      <c r="AB339" s="1">
        <f>AB405/AB327</f>
        <v>5.1754447439353095</v>
      </c>
      <c r="AC339" s="1">
        <f t="shared" si="336"/>
        <v>7.0965682080344683</v>
      </c>
      <c r="AD339" s="1">
        <f>AD405/AD327</f>
        <v>4.6777469942498691</v>
      </c>
      <c r="AE339" s="1">
        <f t="shared" si="337"/>
        <v>6.8807213338913567</v>
      </c>
    </row>
    <row r="341" spans="3:31" s="26" customFormat="1" ht="19">
      <c r="C341" s="38" t="s">
        <v>30</v>
      </c>
      <c r="G341" s="8">
        <f t="shared" ref="G341:U345" si="338">G335/F335-1</f>
        <v>0.28624534807981994</v>
      </c>
      <c r="H341" s="8">
        <f t="shared" si="338"/>
        <v>0.31430802463990282</v>
      </c>
      <c r="I341" s="8">
        <f t="shared" si="338"/>
        <v>0.53484957319472626</v>
      </c>
      <c r="J341" s="8">
        <f t="shared" si="338"/>
        <v>0.49246025248335035</v>
      </c>
      <c r="K341" s="8">
        <f t="shared" si="338"/>
        <v>2.6064598910194858E-2</v>
      </c>
      <c r="L341" s="8">
        <f t="shared" si="338"/>
        <v>1.1978966168574448</v>
      </c>
      <c r="M341" s="8">
        <f t="shared" si="338"/>
        <v>0.26772744630248035</v>
      </c>
      <c r="N341" s="8">
        <f t="shared" si="338"/>
        <v>0.13878676861772754</v>
      </c>
      <c r="O341" s="8">
        <f t="shared" si="338"/>
        <v>0.10835369989154264</v>
      </c>
      <c r="P341" s="8">
        <f t="shared" si="338"/>
        <v>0.1038583960432935</v>
      </c>
      <c r="Q341" s="8">
        <f t="shared" si="338"/>
        <v>0.10535413202268185</v>
      </c>
      <c r="R341" s="8">
        <f t="shared" si="338"/>
        <v>7.9051843574252212E-2</v>
      </c>
      <c r="S341" s="8">
        <f t="shared" si="338"/>
        <v>6.1159403044428684E-2</v>
      </c>
      <c r="T341" s="8">
        <f t="shared" si="338"/>
        <v>5.2371375975292844E-2</v>
      </c>
      <c r="U341" s="8">
        <f t="shared" si="338"/>
        <v>5.2583445462716538E-2</v>
      </c>
      <c r="Z341" s="8">
        <f>Z335/X335-1</f>
        <v>0.51060067499355788</v>
      </c>
      <c r="AA341" s="8">
        <f t="shared" ref="AA341:AE345" si="339">AA335/Y335-1</f>
        <v>0.55488413826642224</v>
      </c>
      <c r="AB341" s="8">
        <f t="shared" si="339"/>
        <v>0.49633860268780405</v>
      </c>
      <c r="AC341" s="8">
        <f t="shared" si="339"/>
        <v>0.48934719907369528</v>
      </c>
      <c r="AD341" s="8">
        <f t="shared" si="339"/>
        <v>-0.25457945623100731</v>
      </c>
      <c r="AE341" s="8">
        <f t="shared" si="339"/>
        <v>0.25238792853811298</v>
      </c>
    </row>
    <row r="342" spans="3:31" s="26" customFormat="1">
      <c r="C342" s="26" t="s">
        <v>208</v>
      </c>
      <c r="G342" s="8">
        <f>G336/F336-1</f>
        <v>0.1455270427014681</v>
      </c>
      <c r="H342" s="8">
        <f t="shared" si="338"/>
        <v>5.7174697219593673E-2</v>
      </c>
      <c r="I342" s="8">
        <f t="shared" si="338"/>
        <v>0.26349618299372457</v>
      </c>
      <c r="J342" s="8">
        <f t="shared" si="338"/>
        <v>0.54774165733819213</v>
      </c>
      <c r="K342" s="8">
        <f t="shared" si="338"/>
        <v>-0.13304816286395205</v>
      </c>
      <c r="L342" s="8">
        <f t="shared" si="338"/>
        <v>0.90571780231936927</v>
      </c>
      <c r="M342" s="8">
        <f t="shared" si="338"/>
        <v>0.14615866325227933</v>
      </c>
      <c r="N342" s="8">
        <f t="shared" si="338"/>
        <v>1.8789947619328284E-2</v>
      </c>
      <c r="O342" s="8">
        <f t="shared" si="338"/>
        <v>1.1629775392846486E-2</v>
      </c>
      <c r="P342" s="8">
        <f t="shared" si="338"/>
        <v>1.5330906947264245E-2</v>
      </c>
      <c r="Q342" s="8">
        <f t="shared" si="338"/>
        <v>3.24690675496071E-2</v>
      </c>
      <c r="R342" s="8">
        <f t="shared" si="338"/>
        <v>2.1426718587516769E-2</v>
      </c>
      <c r="S342" s="8">
        <f t="shared" si="338"/>
        <v>1.4489528051057743E-2</v>
      </c>
      <c r="T342" s="8">
        <f t="shared" si="338"/>
        <v>7.9429512441455685E-3</v>
      </c>
      <c r="U342" s="8">
        <f t="shared" si="338"/>
        <v>9.7533444882671461E-3</v>
      </c>
      <c r="Z342" s="8">
        <f t="shared" ref="Z342:Z345" si="340">Z336/X336-1</f>
        <v>0.20435494577908253</v>
      </c>
      <c r="AA342" s="8">
        <f t="shared" si="339"/>
        <v>0.31561243838725028</v>
      </c>
      <c r="AB342" s="8">
        <f t="shared" si="339"/>
        <v>0.53350349995293533</v>
      </c>
      <c r="AC342" s="8">
        <f t="shared" si="339"/>
        <v>0.55922750671928179</v>
      </c>
      <c r="AD342" s="8">
        <f t="shared" si="339"/>
        <v>-0.34348567099066973</v>
      </c>
      <c r="AE342" s="8">
        <f t="shared" si="339"/>
        <v>3.3910040262453478E-2</v>
      </c>
    </row>
    <row r="343" spans="3:31" s="26" customFormat="1">
      <c r="C343" s="26" t="s">
        <v>209</v>
      </c>
      <c r="G343" s="8">
        <f t="shared" ref="G343:J345" si="341">G337/F337-1</f>
        <v>0.27587076139266098</v>
      </c>
      <c r="H343" s="8">
        <f t="shared" si="341"/>
        <v>0.32385993127371182</v>
      </c>
      <c r="I343" s="8">
        <f t="shared" si="341"/>
        <v>0.45554953699389089</v>
      </c>
      <c r="J343" s="8">
        <f t="shared" si="341"/>
        <v>0.36334522885864384</v>
      </c>
      <c r="K343" s="8">
        <f t="shared" si="338"/>
        <v>-4.8698056832648384E-2</v>
      </c>
      <c r="L343" s="8">
        <f t="shared" si="338"/>
        <v>1.0147630062257407</v>
      </c>
      <c r="M343" s="8">
        <f t="shared" si="338"/>
        <v>0.19514340201174152</v>
      </c>
      <c r="N343" s="8">
        <f t="shared" si="338"/>
        <v>7.8956276445698137E-2</v>
      </c>
      <c r="O343" s="8">
        <f t="shared" si="338"/>
        <v>4.9404567747675321E-2</v>
      </c>
      <c r="P343" s="8">
        <f t="shared" si="338"/>
        <v>6.4163234955172399E-2</v>
      </c>
      <c r="Q343" s="8">
        <f t="shared" si="338"/>
        <v>7.8469563130100672E-2</v>
      </c>
      <c r="R343" s="8">
        <f t="shared" si="338"/>
        <v>5.4469952027911051E-2</v>
      </c>
      <c r="S343" s="8">
        <f t="shared" si="338"/>
        <v>3.8110922936879676E-2</v>
      </c>
      <c r="T343" s="8">
        <f t="shared" si="338"/>
        <v>2.9470789751584014E-2</v>
      </c>
      <c r="U343" s="8">
        <f t="shared" si="338"/>
        <v>2.9611935953420598E-2</v>
      </c>
      <c r="Z343" s="8">
        <f t="shared" si="340"/>
        <v>0.46825843140377921</v>
      </c>
      <c r="AA343" s="8">
        <f t="shared" si="339"/>
        <v>0.44486954297806069</v>
      </c>
      <c r="AB343" s="8">
        <f t="shared" si="339"/>
        <v>0.34819086344539407</v>
      </c>
      <c r="AC343" s="8">
        <f t="shared" si="339"/>
        <v>0.37628643812174722</v>
      </c>
      <c r="AD343" s="8">
        <f t="shared" si="339"/>
        <v>-0.30681293218788674</v>
      </c>
      <c r="AE343" s="8">
        <f t="shared" si="339"/>
        <v>0.16722185196832884</v>
      </c>
    </row>
    <row r="344" spans="3:31" s="26" customFormat="1">
      <c r="C344" s="26" t="s">
        <v>212</v>
      </c>
      <c r="G344" s="8">
        <f t="shared" si="341"/>
        <v>1.2886233455272955</v>
      </c>
      <c r="H344" s="8">
        <f t="shared" si="341"/>
        <v>1.0325347131796456</v>
      </c>
      <c r="I344" s="8">
        <f t="shared" si="341"/>
        <v>1.2831688921093369</v>
      </c>
      <c r="J344" s="8">
        <f t="shared" si="341"/>
        <v>0.65998369836368753</v>
      </c>
      <c r="K344" s="8">
        <f t="shared" si="338"/>
        <v>0.33448079448605128</v>
      </c>
      <c r="L344" s="8">
        <f t="shared" si="338"/>
        <v>1.6656494601043916</v>
      </c>
      <c r="M344" s="8">
        <f t="shared" si="338"/>
        <v>0.36358022573673199</v>
      </c>
      <c r="N344" s="8">
        <f t="shared" si="338"/>
        <v>0.23764057664729399</v>
      </c>
      <c r="O344" s="8">
        <f t="shared" si="338"/>
        <v>0.18295646972579771</v>
      </c>
      <c r="P344" s="8">
        <f t="shared" si="338"/>
        <v>0.15493713050988056</v>
      </c>
      <c r="Q344" s="8">
        <f t="shared" si="338"/>
        <v>0.1403804384946381</v>
      </c>
      <c r="R344" s="8">
        <f t="shared" si="338"/>
        <v>0.10622829834855763</v>
      </c>
      <c r="S344" s="8">
        <f t="shared" si="338"/>
        <v>8.3245780933891789E-2</v>
      </c>
      <c r="T344" s="8">
        <f t="shared" si="338"/>
        <v>7.2773998597056577E-2</v>
      </c>
      <c r="U344" s="8">
        <f t="shared" si="338"/>
        <v>7.1698826723552767E-2</v>
      </c>
      <c r="Z344" s="8">
        <f t="shared" si="340"/>
        <v>1.1709756567651479</v>
      </c>
      <c r="AA344" s="8">
        <f t="shared" si="339"/>
        <v>1.3704835717863895</v>
      </c>
      <c r="AB344" s="8">
        <f t="shared" si="339"/>
        <v>0.74958441439003276</v>
      </c>
      <c r="AC344" s="8">
        <f t="shared" si="339"/>
        <v>0.5961205864245982</v>
      </c>
      <c r="AD344" s="8">
        <f t="shared" si="339"/>
        <v>-9.8728269789549405E-2</v>
      </c>
      <c r="AE344" s="8">
        <f t="shared" si="339"/>
        <v>0.67293922336553291</v>
      </c>
    </row>
    <row r="345" spans="3:31" s="26" customFormat="1">
      <c r="C345" s="26" t="s">
        <v>213</v>
      </c>
      <c r="G345" s="8">
        <f t="shared" si="341"/>
        <v>0.58347169022201339</v>
      </c>
      <c r="H345" s="8">
        <f t="shared" si="341"/>
        <v>0.92097652248481121</v>
      </c>
      <c r="I345" s="8">
        <f t="shared" si="341"/>
        <v>0.69441137689305843</v>
      </c>
      <c r="J345" s="8">
        <f t="shared" si="341"/>
        <v>0.84932246640195741</v>
      </c>
      <c r="K345" s="8">
        <f t="shared" si="338"/>
        <v>-5.8144057264380655E-2</v>
      </c>
      <c r="L345" s="8">
        <f t="shared" si="338"/>
        <v>0.88902692592030141</v>
      </c>
      <c r="M345" s="8">
        <f t="shared" si="338"/>
        <v>0.57254322364751764</v>
      </c>
      <c r="N345" s="8">
        <f t="shared" si="338"/>
        <v>0.1254180602006687</v>
      </c>
      <c r="O345" s="8">
        <f t="shared" si="338"/>
        <v>0.10950777399441103</v>
      </c>
      <c r="P345" s="8">
        <f t="shared" si="338"/>
        <v>9.5064152857231798E-2</v>
      </c>
      <c r="Q345" s="8">
        <f t="shared" si="338"/>
        <v>9.1001603992158175E-2</v>
      </c>
      <c r="R345" s="8">
        <f t="shared" si="338"/>
        <v>7.2489688170268796E-2</v>
      </c>
      <c r="S345" s="8">
        <f t="shared" si="338"/>
        <v>5.9975037673361653E-2</v>
      </c>
      <c r="T345" s="8">
        <f t="shared" si="338"/>
        <v>5.2099720286073792E-2</v>
      </c>
      <c r="U345" s="8">
        <f t="shared" si="338"/>
        <v>5.3064241046048899E-2</v>
      </c>
      <c r="Z345" s="8">
        <f t="shared" si="340"/>
        <v>1.1055933319212365</v>
      </c>
      <c r="AA345" s="8">
        <f t="shared" si="339"/>
        <v>0.49263931998028476</v>
      </c>
      <c r="AB345" s="8">
        <f t="shared" si="339"/>
        <v>0.90658314663792594</v>
      </c>
      <c r="AC345" s="8">
        <f t="shared" si="339"/>
        <v>0.8096852547319211</v>
      </c>
      <c r="AD345" s="8">
        <f t="shared" si="339"/>
        <v>-9.6165213679201722E-2</v>
      </c>
      <c r="AE345" s="8">
        <f t="shared" si="339"/>
        <v>-3.04156696329273E-2</v>
      </c>
    </row>
    <row r="347" spans="3:31" s="26" customFormat="1" ht="19">
      <c r="C347" s="38" t="s">
        <v>36</v>
      </c>
    </row>
    <row r="348" spans="3:31" s="26" customFormat="1">
      <c r="C348" s="26" t="s">
        <v>208</v>
      </c>
      <c r="G348" s="8">
        <f t="shared" ref="G348:J351" si="342">G336/G$335</f>
        <v>0.35116192621767384</v>
      </c>
      <c r="H348" s="8">
        <f t="shared" si="342"/>
        <v>0.28246004442218309</v>
      </c>
      <c r="I348" s="8">
        <f t="shared" si="342"/>
        <v>0.23252258345605828</v>
      </c>
      <c r="J348" s="8">
        <f>J336/J$335</f>
        <v>0.24113532543866026</v>
      </c>
      <c r="K348" s="8">
        <f t="shared" ref="K348:U351" si="343">K336/K$335</f>
        <v>0.20374225327477885</v>
      </c>
      <c r="L348" s="8">
        <f t="shared" si="343"/>
        <v>0.17665764448264376</v>
      </c>
      <c r="M348" s="8">
        <f t="shared" si="343"/>
        <v>0.15971705136153697</v>
      </c>
      <c r="N348" s="8">
        <f t="shared" si="343"/>
        <v>0.14288726465275225</v>
      </c>
      <c r="O348" s="8">
        <f t="shared" si="343"/>
        <v>0.13041776416797884</v>
      </c>
      <c r="P348" s="8">
        <f t="shared" si="343"/>
        <v>0.11995849037281314</v>
      </c>
      <c r="Q348" s="8">
        <f t="shared" si="343"/>
        <v>0.11204864315587089</v>
      </c>
      <c r="R348" s="8">
        <f t="shared" si="343"/>
        <v>0.10606485553259636</v>
      </c>
      <c r="S348" s="8">
        <f t="shared" si="343"/>
        <v>0.10140011474559041</v>
      </c>
      <c r="T348" s="8">
        <f t="shared" si="343"/>
        <v>9.7119261551983666E-2</v>
      </c>
      <c r="U348" s="8">
        <f t="shared" si="343"/>
        <v>9.3167434457641668E-2</v>
      </c>
    </row>
    <row r="349" spans="3:31" s="26" customFormat="1">
      <c r="C349" s="26" t="s">
        <v>209</v>
      </c>
      <c r="G349" s="8">
        <f t="shared" si="342"/>
        <v>0.52621124523147667</v>
      </c>
      <c r="H349" s="8">
        <f t="shared" si="342"/>
        <v>0.53003555474635511</v>
      </c>
      <c r="I349" s="8">
        <f t="shared" si="342"/>
        <v>0.50265056574601397</v>
      </c>
      <c r="J349" s="8">
        <f t="shared" si="342"/>
        <v>0.45916549499570081</v>
      </c>
      <c r="K349" s="8">
        <f t="shared" si="343"/>
        <v>0.42570909091761766</v>
      </c>
      <c r="L349" s="8">
        <f t="shared" si="343"/>
        <v>0.39023806725775451</v>
      </c>
      <c r="M349" s="8">
        <f t="shared" si="343"/>
        <v>0.36789489149045251</v>
      </c>
      <c r="N349" s="8">
        <f t="shared" si="343"/>
        <v>0.34856613475387166</v>
      </c>
      <c r="O349" s="8">
        <f t="shared" si="343"/>
        <v>0.3300272232669576</v>
      </c>
      <c r="P349" s="8">
        <f t="shared" si="343"/>
        <v>0.31815932079141812</v>
      </c>
      <c r="Q349" s="8">
        <f t="shared" si="343"/>
        <v>0.31042100785547105</v>
      </c>
      <c r="R349" s="8">
        <f t="shared" si="343"/>
        <v>0.30334930356781326</v>
      </c>
      <c r="S349" s="8">
        <f t="shared" si="343"/>
        <v>0.29676052871564446</v>
      </c>
      <c r="T349" s="8">
        <f t="shared" si="343"/>
        <v>0.29030274182520588</v>
      </c>
      <c r="U349" s="8">
        <f t="shared" si="343"/>
        <v>0.28396719453614433</v>
      </c>
    </row>
    <row r="350" spans="3:31" s="26" customFormat="1">
      <c r="C350" s="26" t="s">
        <v>212</v>
      </c>
      <c r="G350" s="8">
        <f t="shared" si="342"/>
        <v>9.7485266903300283E-2</v>
      </c>
      <c r="H350" s="8">
        <f t="shared" si="342"/>
        <v>0.15075780204478939</v>
      </c>
      <c r="I350" s="8">
        <f t="shared" si="342"/>
        <v>0.22426010332399604</v>
      </c>
      <c r="J350" s="8">
        <f t="shared" si="342"/>
        <v>0.24943251593585911</v>
      </c>
      <c r="K350" s="8">
        <f t="shared" si="343"/>
        <v>0.32440735445924235</v>
      </c>
      <c r="L350" s="8">
        <f t="shared" si="343"/>
        <v>0.39344720886126261</v>
      </c>
      <c r="M350" s="8">
        <f t="shared" si="343"/>
        <v>0.42319572352819385</v>
      </c>
      <c r="N350" s="8">
        <f t="shared" si="343"/>
        <v>0.45993175696785943</v>
      </c>
      <c r="O350" s="8">
        <f t="shared" si="343"/>
        <v>0.49088954869796814</v>
      </c>
      <c r="P350" s="8">
        <f t="shared" si="343"/>
        <v>0.5136044340494248</v>
      </c>
      <c r="Q350" s="8">
        <f t="shared" si="343"/>
        <v>0.52987945921213131</v>
      </c>
      <c r="R350" s="8">
        <f t="shared" si="343"/>
        <v>0.54322473566466256</v>
      </c>
      <c r="S350" s="8">
        <f t="shared" si="343"/>
        <v>0.55453111127267396</v>
      </c>
      <c r="T350" s="8">
        <f t="shared" si="343"/>
        <v>0.56528196335171155</v>
      </c>
      <c r="U350" s="8">
        <f t="shared" si="343"/>
        <v>0.57554773400953518</v>
      </c>
    </row>
    <row r="351" spans="3:31" s="26" customFormat="1">
      <c r="C351" s="26" t="s">
        <v>213</v>
      </c>
      <c r="G351" s="8">
        <f t="shared" si="342"/>
        <v>2.5141561647549139E-2</v>
      </c>
      <c r="H351" s="8">
        <f t="shared" si="342"/>
        <v>3.6746598786672392E-2</v>
      </c>
      <c r="I351" s="8">
        <f t="shared" si="342"/>
        <v>4.0566747473931734E-2</v>
      </c>
      <c r="J351" s="8">
        <f t="shared" si="342"/>
        <v>5.0266663629779801E-2</v>
      </c>
      <c r="K351" s="8">
        <f t="shared" si="343"/>
        <v>4.6141301348361065E-2</v>
      </c>
      <c r="L351" s="8">
        <f t="shared" si="343"/>
        <v>3.9657079398339186E-2</v>
      </c>
      <c r="M351" s="8">
        <f t="shared" si="343"/>
        <v>4.9192333619816689E-2</v>
      </c>
      <c r="N351" s="8">
        <f t="shared" si="343"/>
        <v>4.861484362551665E-2</v>
      </c>
      <c r="O351" s="8">
        <f t="shared" si="343"/>
        <v>4.8665463867095402E-2</v>
      </c>
      <c r="P351" s="8">
        <f t="shared" si="343"/>
        <v>4.8277754786343927E-2</v>
      </c>
      <c r="Q351" s="8">
        <f t="shared" si="343"/>
        <v>4.7650889776526845E-2</v>
      </c>
      <c r="R351" s="8">
        <f t="shared" si="343"/>
        <v>4.7361105234927904E-2</v>
      </c>
      <c r="S351" s="8">
        <f t="shared" si="343"/>
        <v>4.7308245266091196E-2</v>
      </c>
      <c r="T351" s="8">
        <f t="shared" si="343"/>
        <v>4.7296033271098846E-2</v>
      </c>
      <c r="U351" s="8">
        <f t="shared" si="343"/>
        <v>4.7317636996678902E-2</v>
      </c>
    </row>
    <row r="353" spans="2:31" ht="19">
      <c r="C353" s="43" t="s">
        <v>220</v>
      </c>
    </row>
    <row r="354" spans="2:31">
      <c r="C354" s="1" t="s">
        <v>208</v>
      </c>
      <c r="F354" s="44">
        <f t="shared" ref="F354:I354" si="344">F336/F282</f>
        <v>0.35141667304995577</v>
      </c>
      <c r="G354" s="44">
        <f t="shared" si="344"/>
        <v>0.39617041074991827</v>
      </c>
      <c r="H354" s="44">
        <f t="shared" si="344"/>
        <v>0.41285294191220162</v>
      </c>
      <c r="I354" s="44">
        <f t="shared" si="344"/>
        <v>0.51602053596147268</v>
      </c>
      <c r="J354" s="44">
        <f>J336/J282</f>
        <v>0.78952031109601606</v>
      </c>
      <c r="K354" s="44">
        <f>K336/K282</f>
        <v>0.67769909322862887</v>
      </c>
      <c r="L354" s="44">
        <f t="shared" ref="L354:U354" si="345">L336/L282</f>
        <v>1.2787160659222694</v>
      </c>
      <c r="M354" s="44">
        <f t="shared" si="345"/>
        <v>1.4511004918779025</v>
      </c>
      <c r="N354" s="44">
        <f t="shared" si="345"/>
        <v>1.4637293010996728</v>
      </c>
      <c r="O354" s="44">
        <f t="shared" si="345"/>
        <v>1.4660912317894952</v>
      </c>
      <c r="P354" s="44">
        <f t="shared" si="345"/>
        <v>1.4738294455844159</v>
      </c>
      <c r="Q354" s="44">
        <f t="shared" si="345"/>
        <v>1.506617141989798</v>
      </c>
      <c r="R354" s="44">
        <f t="shared" si="345"/>
        <v>1.5236623797132103</v>
      </c>
      <c r="S354" s="44">
        <f t="shared" si="345"/>
        <v>1.5304351767370357</v>
      </c>
      <c r="T354" s="44">
        <f t="shared" si="345"/>
        <v>1.5273181670576073</v>
      </c>
      <c r="U354" s="44">
        <f t="shared" si="345"/>
        <v>1.5269451755288208</v>
      </c>
    </row>
    <row r="355" spans="2:31">
      <c r="C355" s="1" t="s">
        <v>209</v>
      </c>
      <c r="F355" s="44">
        <f t="shared" ref="F355:I355" si="346">F337/F284</f>
        <v>0.13580418614217971</v>
      </c>
      <c r="G355" s="44">
        <f t="shared" si="346"/>
        <v>0.17093879904752171</v>
      </c>
      <c r="H355" s="44">
        <f t="shared" si="346"/>
        <v>0.22292416442599364</v>
      </c>
      <c r="I355" s="44">
        <f t="shared" si="346"/>
        <v>0.32009071785394755</v>
      </c>
      <c r="J355" s="44">
        <f>J337/J284</f>
        <v>0.42848131644558463</v>
      </c>
      <c r="K355" s="44">
        <f>K337/K284</f>
        <v>0.40159124034048232</v>
      </c>
      <c r="L355" s="44">
        <f t="shared" ref="L355:U355" si="347">L337/L284</f>
        <v>0.79715386666237853</v>
      </c>
      <c r="M355" s="44">
        <f t="shared" si="347"/>
        <v>0.93863367894550664</v>
      </c>
      <c r="N355" s="44">
        <f t="shared" si="347"/>
        <v>0.99777802875031629</v>
      </c>
      <c r="O355" s="44">
        <f t="shared" si="347"/>
        <v>1.0315988383929591</v>
      </c>
      <c r="P355" s="44">
        <f t="shared" si="347"/>
        <v>1.081566066049507</v>
      </c>
      <c r="Q355" s="44">
        <f t="shared" si="347"/>
        <v>1.1491981110825158</v>
      </c>
      <c r="R355" s="44">
        <f t="shared" si="347"/>
        <v>1.1938865783879278</v>
      </c>
      <c r="S355" s="44">
        <f t="shared" si="347"/>
        <v>1.2210706381992564</v>
      </c>
      <c r="T355" s="44">
        <f t="shared" si="347"/>
        <v>1.2384793637925708</v>
      </c>
      <c r="U355" s="44">
        <f t="shared" si="347"/>
        <v>1.2563085077761869</v>
      </c>
    </row>
    <row r="357" spans="2:31">
      <c r="B357" s="1" t="s">
        <v>221</v>
      </c>
      <c r="F357" s="1">
        <f t="shared" ref="F357:U361" si="348">F335/F363*1000000</f>
        <v>1373.2409723367261</v>
      </c>
      <c r="G357" s="1">
        <f t="shared" si="348"/>
        <v>1415.8763203217327</v>
      </c>
      <c r="H357" s="1">
        <f t="shared" si="348"/>
        <v>1440.6546055984493</v>
      </c>
      <c r="I357" s="1">
        <f t="shared" si="348"/>
        <v>1266.0681421489546</v>
      </c>
      <c r="J357" s="1">
        <f t="shared" si="348"/>
        <v>1104.4403835730623</v>
      </c>
      <c r="K357" s="1">
        <f t="shared" si="348"/>
        <v>695.04803653894601</v>
      </c>
      <c r="L357" s="1">
        <f t="shared" si="348"/>
        <v>1006.9618823037598</v>
      </c>
      <c r="M357" s="1">
        <f t="shared" si="348"/>
        <v>1007.5219794173722</v>
      </c>
      <c r="N357" s="1">
        <f t="shared" si="348"/>
        <v>968.71682525817744</v>
      </c>
      <c r="O357" s="1">
        <f t="shared" si="348"/>
        <v>944.67817203932918</v>
      </c>
      <c r="P357" s="1">
        <f t="shared" si="348"/>
        <v>935.50239885110864</v>
      </c>
      <c r="Q357" s="1">
        <f t="shared" si="348"/>
        <v>935.51683197724185</v>
      </c>
      <c r="R357" s="1">
        <f t="shared" si="348"/>
        <v>935.20165354056758</v>
      </c>
      <c r="S357" s="1">
        <f t="shared" si="348"/>
        <v>934.67340893717778</v>
      </c>
      <c r="T357" s="1">
        <f t="shared" si="348"/>
        <v>934.37956948007763</v>
      </c>
      <c r="U357" s="1">
        <f t="shared" si="348"/>
        <v>934.3122431709229</v>
      </c>
      <c r="X357" s="1">
        <f>X335/X363*1000000</f>
        <v>1447.9353827118266</v>
      </c>
      <c r="Y357" s="1">
        <f t="shared" ref="Y357:AE361" si="349">Y335/Y363*1000000</f>
        <v>1434.6942001042951</v>
      </c>
      <c r="Z357" s="1">
        <f t="shared" si="349"/>
        <v>1325.2829374282414</v>
      </c>
      <c r="AA357" s="1">
        <f t="shared" si="349"/>
        <v>1222.233705321959</v>
      </c>
      <c r="AB357" s="1">
        <f t="shared" si="349"/>
        <v>1137.2095771377808</v>
      </c>
      <c r="AC357" s="1">
        <f t="shared" si="349"/>
        <v>1079.3582578451301</v>
      </c>
      <c r="AD357" s="1">
        <f t="shared" si="349"/>
        <v>524.2402538554968</v>
      </c>
      <c r="AE357" s="1">
        <f t="shared" si="349"/>
        <v>823.89884411795924</v>
      </c>
    </row>
    <row r="358" spans="2:31" outlineLevel="1">
      <c r="C358" s="1" t="s">
        <v>208</v>
      </c>
      <c r="F358" s="2">
        <v>1412</v>
      </c>
      <c r="G358" s="2">
        <v>1472</v>
      </c>
      <c r="H358" s="2">
        <v>1546</v>
      </c>
      <c r="I358" s="1">
        <f t="shared" si="348"/>
        <v>1315.9089109149811</v>
      </c>
      <c r="J358" s="1">
        <f t="shared" si="348"/>
        <v>1095.9146867117374</v>
      </c>
      <c r="K358" s="1">
        <f t="shared" si="348"/>
        <v>641.6130776234304</v>
      </c>
      <c r="L358" s="1">
        <f t="shared" ref="L358:U361" si="350">L389*L383</f>
        <v>960.17413170950317</v>
      </c>
      <c r="M358" s="1">
        <f t="shared" si="350"/>
        <v>952.70611068509584</v>
      </c>
      <c r="N358" s="1">
        <f t="shared" si="350"/>
        <v>876.48962183028823</v>
      </c>
      <c r="O358" s="1">
        <f t="shared" si="350"/>
        <v>823.28670178518962</v>
      </c>
      <c r="P358" s="1">
        <f t="shared" si="350"/>
        <v>789.94359036288938</v>
      </c>
      <c r="Q358" s="1">
        <f t="shared" si="350"/>
        <v>773.90773547852268</v>
      </c>
      <c r="R358" s="1">
        <f t="shared" si="350"/>
        <v>758.19740844830869</v>
      </c>
      <c r="S358" s="1">
        <f t="shared" si="350"/>
        <v>742.8060010568081</v>
      </c>
      <c r="T358" s="1">
        <f t="shared" si="350"/>
        <v>727.72703923535482</v>
      </c>
      <c r="U358" s="1">
        <f t="shared" si="350"/>
        <v>712.95418033887699</v>
      </c>
      <c r="X358" s="2">
        <v>1469</v>
      </c>
      <c r="Y358" s="1">
        <f>Y336/Y364*1000000</f>
        <v>1620.8685682548441</v>
      </c>
      <c r="Z358" s="2">
        <v>1418</v>
      </c>
      <c r="AA358" s="1">
        <f t="shared" si="349"/>
        <v>1243.6770892859131</v>
      </c>
      <c r="AB358" s="1">
        <f t="shared" si="349"/>
        <v>1141.9793834158475</v>
      </c>
      <c r="AC358" s="1">
        <f t="shared" si="349"/>
        <v>1061.92945531183</v>
      </c>
      <c r="AD358" s="1">
        <f t="shared" si="349"/>
        <v>467.39509179637082</v>
      </c>
      <c r="AE358" s="1">
        <f t="shared" si="349"/>
        <v>789.95220706960617</v>
      </c>
    </row>
    <row r="359" spans="2:31" outlineLevel="1">
      <c r="C359" s="1" t="s">
        <v>209</v>
      </c>
      <c r="F359" s="2">
        <v>1471</v>
      </c>
      <c r="G359" s="2">
        <v>1559</v>
      </c>
      <c r="H359" s="2">
        <v>1589</v>
      </c>
      <c r="I359" s="1">
        <f t="shared" si="348"/>
        <v>1402.5653924366923</v>
      </c>
      <c r="J359" s="1">
        <f t="shared" si="348"/>
        <v>1165.5213041610027</v>
      </c>
      <c r="K359" s="1">
        <f t="shared" si="348"/>
        <v>723.93569010289241</v>
      </c>
      <c r="L359" s="1">
        <f t="shared" si="350"/>
        <v>1034.5279058192787</v>
      </c>
      <c r="M359" s="1">
        <f t="shared" si="350"/>
        <v>992.26634030495927</v>
      </c>
      <c r="N359" s="1">
        <f t="shared" si="350"/>
        <v>912.88503308056261</v>
      </c>
      <c r="O359" s="1">
        <f t="shared" si="350"/>
        <v>848.25277273845882</v>
      </c>
      <c r="P359" s="1">
        <f t="shared" si="350"/>
        <v>813.89853544255129</v>
      </c>
      <c r="Q359" s="1">
        <f t="shared" si="350"/>
        <v>797.37639517306752</v>
      </c>
      <c r="R359" s="1">
        <f t="shared" si="350"/>
        <v>781.18965435105429</v>
      </c>
      <c r="S359" s="1">
        <f t="shared" si="350"/>
        <v>765.3315043677278</v>
      </c>
      <c r="T359" s="1">
        <f t="shared" si="350"/>
        <v>749.79527482906292</v>
      </c>
      <c r="U359" s="1">
        <f t="shared" si="350"/>
        <v>734.574430750033</v>
      </c>
      <c r="X359" s="2">
        <v>1642</v>
      </c>
      <c r="Y359" s="1">
        <f>Y337/Y365*1000000</f>
        <v>1547.0369881073468</v>
      </c>
      <c r="Z359" s="2">
        <v>1485</v>
      </c>
      <c r="AA359" s="1">
        <f t="shared" si="349"/>
        <v>1339.0865673990882</v>
      </c>
      <c r="AB359" s="1">
        <f t="shared" si="349"/>
        <v>1215.9645294419224</v>
      </c>
      <c r="AC359" s="1">
        <f t="shared" si="349"/>
        <v>1126.4312488720755</v>
      </c>
      <c r="AD359" s="1">
        <f t="shared" si="349"/>
        <v>539.46250042609063</v>
      </c>
      <c r="AE359" s="1">
        <f t="shared" si="349"/>
        <v>872.08823671330958</v>
      </c>
    </row>
    <row r="360" spans="2:31" outlineLevel="1">
      <c r="C360" s="1" t="s">
        <v>212</v>
      </c>
      <c r="F360" s="2">
        <v>962</v>
      </c>
      <c r="G360" s="2">
        <v>1027</v>
      </c>
      <c r="H360" s="2">
        <v>1112</v>
      </c>
      <c r="I360" s="1">
        <f t="shared" si="348"/>
        <v>1146.8591838623111</v>
      </c>
      <c r="J360" s="1">
        <f t="shared" si="348"/>
        <v>1101.9109424298761</v>
      </c>
      <c r="K360" s="1">
        <f t="shared" si="348"/>
        <v>752.40077863660292</v>
      </c>
      <c r="L360" s="1">
        <f t="shared" si="350"/>
        <v>1079.1045469313667</v>
      </c>
      <c r="M360" s="1">
        <f t="shared" si="350"/>
        <v>1079.1045469313667</v>
      </c>
      <c r="N360" s="1">
        <f t="shared" si="350"/>
        <v>1079.1045469313667</v>
      </c>
      <c r="O360" s="1">
        <f t="shared" si="350"/>
        <v>1089.8955924006805</v>
      </c>
      <c r="P360" s="1">
        <f t="shared" si="350"/>
        <v>1100.7945483246872</v>
      </c>
      <c r="Q360" s="1">
        <f t="shared" si="350"/>
        <v>1111.8024938079341</v>
      </c>
      <c r="R360" s="1">
        <f t="shared" si="350"/>
        <v>1122.9205187460136</v>
      </c>
      <c r="S360" s="1">
        <f t="shared" si="350"/>
        <v>1134.1497239334738</v>
      </c>
      <c r="T360" s="1">
        <f t="shared" si="350"/>
        <v>1145.4912211728085</v>
      </c>
      <c r="U360" s="1">
        <f t="shared" si="350"/>
        <v>1156.9461333845366</v>
      </c>
      <c r="X360" s="2">
        <v>1133</v>
      </c>
      <c r="Y360" s="1">
        <f>Y338/Y366*1000000</f>
        <v>1096.1877051274635</v>
      </c>
      <c r="Z360" s="2">
        <v>1139</v>
      </c>
      <c r="AA360" s="1">
        <f t="shared" si="349"/>
        <v>1152.5273629953585</v>
      </c>
      <c r="AB360" s="1">
        <f t="shared" si="349"/>
        <v>1117.9218226039682</v>
      </c>
      <c r="AC360" s="1">
        <f t="shared" si="349"/>
        <v>1089.717523166858</v>
      </c>
      <c r="AD360" s="1">
        <f t="shared" si="349"/>
        <v>573.82223315169972</v>
      </c>
      <c r="AE360" s="1">
        <f t="shared" si="349"/>
        <v>865.81286174240984</v>
      </c>
    </row>
    <row r="361" spans="2:31" outlineLevel="1">
      <c r="C361" s="1" t="s">
        <v>213</v>
      </c>
      <c r="F361" s="2">
        <v>651</v>
      </c>
      <c r="G361" s="2">
        <v>713</v>
      </c>
      <c r="H361" s="2">
        <v>869</v>
      </c>
      <c r="I361" s="1">
        <f t="shared" si="348"/>
        <v>684.97695696749054</v>
      </c>
      <c r="J361" s="1">
        <f t="shared" si="348"/>
        <v>772.33474634002187</v>
      </c>
      <c r="K361" s="1">
        <f t="shared" si="348"/>
        <v>452.40394254731012</v>
      </c>
      <c r="L361" s="1">
        <f t="shared" si="350"/>
        <v>589.41325265202136</v>
      </c>
      <c r="M361" s="1">
        <f t="shared" si="350"/>
        <v>794.02385321550867</v>
      </c>
      <c r="N361" s="1">
        <f t="shared" si="350"/>
        <v>794.02385321550867</v>
      </c>
      <c r="O361" s="1">
        <f t="shared" si="350"/>
        <v>801.96409174766382</v>
      </c>
      <c r="P361" s="1">
        <f t="shared" si="350"/>
        <v>809.98373266514045</v>
      </c>
      <c r="Q361" s="1">
        <f t="shared" si="350"/>
        <v>818.08356999179182</v>
      </c>
      <c r="R361" s="1">
        <f t="shared" si="350"/>
        <v>826.26440569170973</v>
      </c>
      <c r="S361" s="1">
        <f t="shared" si="350"/>
        <v>834.52704974862695</v>
      </c>
      <c r="T361" s="1">
        <f t="shared" si="350"/>
        <v>842.87232024611308</v>
      </c>
      <c r="U361" s="1">
        <f t="shared" si="350"/>
        <v>851.30104344857432</v>
      </c>
      <c r="X361" s="2">
        <v>722</v>
      </c>
      <c r="Y361" s="1">
        <f>Y339/Y367*1000000</f>
        <v>965.45855374498296</v>
      </c>
      <c r="Z361" s="2">
        <v>666</v>
      </c>
      <c r="AA361" s="1">
        <f t="shared" si="349"/>
        <v>698.75941274555123</v>
      </c>
      <c r="AB361" s="1">
        <f t="shared" si="349"/>
        <v>723.88904733692004</v>
      </c>
      <c r="AC361" s="1">
        <f t="shared" si="349"/>
        <v>811.96432586206731</v>
      </c>
      <c r="AD361" s="1">
        <f t="shared" si="349"/>
        <v>431.96481616491542</v>
      </c>
      <c r="AE361" s="1">
        <f t="shared" si="349"/>
        <v>467.44030800892364</v>
      </c>
    </row>
    <row r="362" spans="2:31" outlineLevel="1"/>
    <row r="363" spans="2:31" s="6" customFormat="1">
      <c r="B363" s="6" t="s">
        <v>222</v>
      </c>
      <c r="F363" s="6">
        <f>F364+F365+F366+F367</f>
        <v>45909.168146188138</v>
      </c>
      <c r="G363" s="6">
        <f t="shared" ref="G363:U363" si="351">G364+G365+G366+G367</f>
        <v>57272.306664198732</v>
      </c>
      <c r="H363" s="6">
        <f t="shared" si="351"/>
        <v>73978.799747728641</v>
      </c>
      <c r="I363" s="6">
        <f t="shared" si="351"/>
        <v>129203.97938410306</v>
      </c>
      <c r="J363" s="6">
        <f t="shared" si="351"/>
        <v>221051.5</v>
      </c>
      <c r="K363" s="6">
        <f t="shared" si="351"/>
        <v>360409</v>
      </c>
      <c r="L363" s="6">
        <f t="shared" si="351"/>
        <v>546770</v>
      </c>
      <c r="M363" s="6">
        <f t="shared" si="351"/>
        <v>692770</v>
      </c>
      <c r="N363" s="6">
        <f t="shared" si="351"/>
        <v>820520</v>
      </c>
      <c r="O363" s="6">
        <f t="shared" si="351"/>
        <v>932568</v>
      </c>
      <c r="P363" s="6">
        <f t="shared" si="351"/>
        <v>1039520</v>
      </c>
      <c r="Q363" s="6">
        <f t="shared" si="351"/>
        <v>1149020</v>
      </c>
      <c r="R363" s="6">
        <f t="shared" si="351"/>
        <v>1240270</v>
      </c>
      <c r="S363" s="6">
        <f t="shared" si="351"/>
        <v>1316868.0000000002</v>
      </c>
      <c r="T363" s="6">
        <f t="shared" si="351"/>
        <v>1386270</v>
      </c>
      <c r="U363" s="6">
        <f t="shared" si="351"/>
        <v>1459270.0000000002</v>
      </c>
      <c r="X363" s="6">
        <f t="shared" ref="X363:AE363" si="352">X364+X365+X366+X367</f>
        <v>33300.92617380312</v>
      </c>
      <c r="Y363" s="6">
        <f t="shared" si="352"/>
        <v>40677.873573925535</v>
      </c>
      <c r="Z363" s="6">
        <f t="shared" si="352"/>
        <v>54959.97938410307</v>
      </c>
      <c r="AA363" s="6">
        <f t="shared" si="352"/>
        <v>74244</v>
      </c>
      <c r="AB363" s="6">
        <f t="shared" si="352"/>
        <v>95839.5</v>
      </c>
      <c r="AC363" s="6">
        <f t="shared" si="352"/>
        <v>125212</v>
      </c>
      <c r="AD363" s="6">
        <f t="shared" si="352"/>
        <v>154973</v>
      </c>
      <c r="AE363" s="6">
        <f t="shared" si="352"/>
        <v>205436</v>
      </c>
    </row>
    <row r="364" spans="2:31" outlineLevel="1">
      <c r="C364" s="1" t="s">
        <v>208</v>
      </c>
      <c r="F364" s="1">
        <f t="shared" ref="F364:H367" si="353">F336*1000000/F358</f>
        <v>17605.054468747338</v>
      </c>
      <c r="G364" s="1">
        <f t="shared" si="353"/>
        <v>19345.038836169533</v>
      </c>
      <c r="H364" s="1">
        <f t="shared" si="353"/>
        <v>19472.184971159124</v>
      </c>
      <c r="I364" s="3">
        <f>Z364+AA364</f>
        <v>28904.953987811692</v>
      </c>
      <c r="J364" s="3">
        <f>AB364+AC364</f>
        <v>53718</v>
      </c>
      <c r="K364" s="3">
        <f>AD364+AE364</f>
        <v>79546</v>
      </c>
      <c r="L364" s="1">
        <f t="shared" ref="L364:U367" si="354">AVERAGE(K289:L289)*L$2</f>
        <v>101297.83018867925</v>
      </c>
      <c r="M364" s="1">
        <f t="shared" si="354"/>
        <v>117013.49056603774</v>
      </c>
      <c r="N364" s="1">
        <f t="shared" si="354"/>
        <v>129578.44339622643</v>
      </c>
      <c r="O364" s="1">
        <f t="shared" si="354"/>
        <v>139556.49056603774</v>
      </c>
      <c r="P364" s="1">
        <f t="shared" si="354"/>
        <v>147676.93396226416</v>
      </c>
      <c r="Q364" s="1">
        <f t="shared" si="354"/>
        <v>155631.17924528301</v>
      </c>
      <c r="R364" s="1">
        <f t="shared" si="354"/>
        <v>162259.71698113205</v>
      </c>
      <c r="S364" s="1">
        <f t="shared" si="354"/>
        <v>168021.62264150946</v>
      </c>
      <c r="T364" s="1">
        <f t="shared" si="354"/>
        <v>172865.37735849057</v>
      </c>
      <c r="U364" s="1">
        <f t="shared" si="354"/>
        <v>178168.20754716982</v>
      </c>
      <c r="X364" s="1">
        <f>X336*1000000/X358</f>
        <v>9599.4492233430265</v>
      </c>
      <c r="Y364" s="1">
        <f>H364-X364</f>
        <v>9872.7357478160975</v>
      </c>
      <c r="Z364" s="1">
        <f>Z336*1000000/Z358</f>
        <v>11976.953987811694</v>
      </c>
      <c r="AA364" s="3">
        <f t="shared" ref="AA364:AE367" si="355">AVERAGE(Z289:AA289)*AA$2</f>
        <v>16928</v>
      </c>
      <c r="AB364" s="3">
        <f t="shared" si="355"/>
        <v>22806</v>
      </c>
      <c r="AC364" s="3">
        <f t="shared" si="355"/>
        <v>30912</v>
      </c>
      <c r="AD364" s="3">
        <f t="shared" si="355"/>
        <v>36582</v>
      </c>
      <c r="AE364" s="3">
        <f t="shared" si="355"/>
        <v>42964</v>
      </c>
    </row>
    <row r="365" spans="2:31" outlineLevel="1">
      <c r="C365" s="1" t="s">
        <v>209</v>
      </c>
      <c r="F365" s="1">
        <f t="shared" si="353"/>
        <v>22735.827232021958</v>
      </c>
      <c r="G365" s="1">
        <f t="shared" si="353"/>
        <v>27370.580156046719</v>
      </c>
      <c r="H365" s="1">
        <f t="shared" si="353"/>
        <v>35550.708366238192</v>
      </c>
      <c r="I365" s="3">
        <f t="shared" ref="I365:I367" si="356">Z365+AA365</f>
        <v>58624.078291764061</v>
      </c>
      <c r="J365" s="3">
        <f t="shared" ref="J365:J367" si="357">AB365+AC365</f>
        <v>96180</v>
      </c>
      <c r="K365" s="3">
        <f t="shared" ref="K365:K367" si="358">AD365+AE365</f>
        <v>147307</v>
      </c>
      <c r="L365" s="1">
        <f t="shared" si="354"/>
        <v>207685</v>
      </c>
      <c r="M365" s="1">
        <f t="shared" si="354"/>
        <v>258785</v>
      </c>
      <c r="N365" s="1">
        <f t="shared" si="354"/>
        <v>303497.5</v>
      </c>
      <c r="O365" s="1">
        <f t="shared" si="354"/>
        <v>342759</v>
      </c>
      <c r="P365" s="1">
        <f t="shared" si="354"/>
        <v>380147.5</v>
      </c>
      <c r="Q365" s="1">
        <f t="shared" si="354"/>
        <v>418472.5</v>
      </c>
      <c r="R365" s="1">
        <f t="shared" si="354"/>
        <v>450410</v>
      </c>
      <c r="S365" s="1">
        <f t="shared" si="354"/>
        <v>477264</v>
      </c>
      <c r="T365" s="1">
        <f t="shared" si="354"/>
        <v>501510</v>
      </c>
      <c r="U365" s="1">
        <f t="shared" si="354"/>
        <v>527060</v>
      </c>
      <c r="X365" s="1">
        <f>X337*1000000/X359</f>
        <v>15709.430105808524</v>
      </c>
      <c r="Y365" s="1">
        <f t="shared" ref="Y365:Y367" si="359">H365-X365</f>
        <v>19841.278260429666</v>
      </c>
      <c r="Z365" s="1">
        <f>Z337*1000000/Z359</f>
        <v>25504.078291764061</v>
      </c>
      <c r="AA365" s="3">
        <f t="shared" si="355"/>
        <v>33120</v>
      </c>
      <c r="AB365" s="3">
        <f t="shared" si="355"/>
        <v>41992</v>
      </c>
      <c r="AC365" s="3">
        <f t="shared" si="355"/>
        <v>54188</v>
      </c>
      <c r="AD365" s="3">
        <f t="shared" si="355"/>
        <v>65611</v>
      </c>
      <c r="AE365" s="3">
        <f t="shared" si="355"/>
        <v>81696</v>
      </c>
    </row>
    <row r="366" spans="2:31" outlineLevel="1">
      <c r="C366" s="1" t="s">
        <v>212</v>
      </c>
      <c r="F366" s="1">
        <f t="shared" si="353"/>
        <v>3590.5384569081671</v>
      </c>
      <c r="G366" s="1">
        <f t="shared" si="353"/>
        <v>7697.3021522344961</v>
      </c>
      <c r="H366" s="1">
        <f t="shared" si="353"/>
        <v>14449.145445548324</v>
      </c>
      <c r="I366" s="3">
        <f t="shared" si="356"/>
        <v>31987.1017538222</v>
      </c>
      <c r="J366" s="3">
        <f t="shared" si="357"/>
        <v>55264</v>
      </c>
      <c r="K366" s="3">
        <f t="shared" si="358"/>
        <v>108007</v>
      </c>
      <c r="L366" s="1">
        <f t="shared" si="354"/>
        <v>200743.11320754717</v>
      </c>
      <c r="M366" s="1">
        <f t="shared" si="354"/>
        <v>273729.33962264151</v>
      </c>
      <c r="N366" s="1">
        <f t="shared" si="354"/>
        <v>338778.53773584904</v>
      </c>
      <c r="O366" s="1">
        <f t="shared" si="354"/>
        <v>396792.33962264151</v>
      </c>
      <c r="P366" s="1">
        <f t="shared" si="354"/>
        <v>453732.87735849066</v>
      </c>
      <c r="Q366" s="1">
        <f t="shared" si="354"/>
        <v>512305.04716981133</v>
      </c>
      <c r="R366" s="1">
        <f t="shared" si="354"/>
        <v>561115.1886792453</v>
      </c>
      <c r="S366" s="1">
        <f t="shared" si="354"/>
        <v>601807.58490566059</v>
      </c>
      <c r="T366" s="1">
        <f t="shared" si="354"/>
        <v>639211.41509433975</v>
      </c>
      <c r="U366" s="1">
        <f t="shared" si="354"/>
        <v>678259.52830188698</v>
      </c>
      <c r="X366" s="1">
        <f>X338*1000000/X360</f>
        <v>6206.4630643721994</v>
      </c>
      <c r="Y366" s="1">
        <f t="shared" si="359"/>
        <v>8242.6823811761242</v>
      </c>
      <c r="Z366" s="1">
        <f>Z338*1000000/Z360</f>
        <v>13403.101753822202</v>
      </c>
      <c r="AA366" s="3">
        <f t="shared" si="355"/>
        <v>18584</v>
      </c>
      <c r="AB366" s="3">
        <f t="shared" si="355"/>
        <v>23892</v>
      </c>
      <c r="AC366" s="3">
        <f t="shared" si="355"/>
        <v>31372</v>
      </c>
      <c r="AD366" s="3">
        <f t="shared" si="355"/>
        <v>41951</v>
      </c>
      <c r="AE366" s="3">
        <f t="shared" si="355"/>
        <v>66056</v>
      </c>
    </row>
    <row r="367" spans="2:31" outlineLevel="1">
      <c r="C367" s="1" t="s">
        <v>213</v>
      </c>
      <c r="F367" s="1">
        <f t="shared" si="353"/>
        <v>1977.7479885106698</v>
      </c>
      <c r="G367" s="1">
        <f t="shared" si="353"/>
        <v>2859.3855197479884</v>
      </c>
      <c r="H367" s="1">
        <f t="shared" si="353"/>
        <v>4506.7609647830113</v>
      </c>
      <c r="I367" s="3">
        <f t="shared" si="356"/>
        <v>9687.8453507051163</v>
      </c>
      <c r="J367" s="3">
        <f t="shared" si="357"/>
        <v>15889.5</v>
      </c>
      <c r="K367" s="3">
        <f t="shared" si="358"/>
        <v>25549</v>
      </c>
      <c r="L367" s="1">
        <f t="shared" si="354"/>
        <v>37044.056603773592</v>
      </c>
      <c r="M367" s="1">
        <f t="shared" si="354"/>
        <v>43242.169811320753</v>
      </c>
      <c r="N367" s="1">
        <f t="shared" si="354"/>
        <v>48665.518867924518</v>
      </c>
      <c r="O367" s="1">
        <f t="shared" si="354"/>
        <v>53460.169811320731</v>
      </c>
      <c r="P367" s="1">
        <f t="shared" si="354"/>
        <v>57962.68867924525</v>
      </c>
      <c r="Q367" s="1">
        <f t="shared" si="354"/>
        <v>62611.273584905612</v>
      </c>
      <c r="R367" s="1">
        <f t="shared" si="354"/>
        <v>66485.094339622592</v>
      </c>
      <c r="S367" s="1">
        <f t="shared" si="354"/>
        <v>69774.792452830137</v>
      </c>
      <c r="T367" s="1">
        <f t="shared" si="354"/>
        <v>72683.207547169761</v>
      </c>
      <c r="U367" s="1">
        <f t="shared" si="354"/>
        <v>75782.264150943345</v>
      </c>
      <c r="X367" s="1">
        <f>X339*1000000/X361</f>
        <v>1785.5837802793656</v>
      </c>
      <c r="Y367" s="1">
        <f t="shared" si="359"/>
        <v>2721.1771845036455</v>
      </c>
      <c r="Z367" s="1">
        <f>Z339*1000000/Z361</f>
        <v>4075.8453507051167</v>
      </c>
      <c r="AA367" s="3">
        <f t="shared" si="355"/>
        <v>5612</v>
      </c>
      <c r="AB367" s="3">
        <f t="shared" si="355"/>
        <v>7149.5</v>
      </c>
      <c r="AC367" s="3">
        <f t="shared" si="355"/>
        <v>8740</v>
      </c>
      <c r="AD367" s="3">
        <f t="shared" si="355"/>
        <v>10829</v>
      </c>
      <c r="AE367" s="3">
        <f t="shared" si="355"/>
        <v>14720</v>
      </c>
    </row>
    <row r="368" spans="2:31" outlineLevel="1"/>
    <row r="369" spans="2:31" ht="19" outlineLevel="1">
      <c r="C369" s="43" t="s">
        <v>223</v>
      </c>
      <c r="F369" s="1">
        <f t="shared" ref="F369:K373" si="360">F363/F288</f>
        <v>314.44635716567217</v>
      </c>
      <c r="G369" s="1">
        <f t="shared" si="360"/>
        <v>325.410833319311</v>
      </c>
      <c r="H369" s="1">
        <f t="shared" si="360"/>
        <v>270.98461446054449</v>
      </c>
      <c r="I369" s="1">
        <f t="shared" si="360"/>
        <v>277.26175833498513</v>
      </c>
      <c r="J369" s="1">
        <f t="shared" si="360"/>
        <v>287.82747395833331</v>
      </c>
      <c r="K369" s="1">
        <f t="shared" si="360"/>
        <v>277.66486902927579</v>
      </c>
      <c r="X369" s="1">
        <f t="shared" ref="X369:AE373" si="361">X363/X288</f>
        <v>164.04397129952275</v>
      </c>
      <c r="Y369" s="1">
        <f t="shared" si="361"/>
        <v>149.00319990448915</v>
      </c>
      <c r="Z369" s="1">
        <f t="shared" si="361"/>
        <v>161.1729600706835</v>
      </c>
      <c r="AA369" s="1">
        <f t="shared" si="361"/>
        <v>159.32188841201716</v>
      </c>
      <c r="AB369" s="1">
        <f t="shared" si="361"/>
        <v>161.61804384485666</v>
      </c>
      <c r="AC369" s="1">
        <f t="shared" si="361"/>
        <v>163.03645833333334</v>
      </c>
      <c r="AD369" s="1">
        <f t="shared" si="361"/>
        <v>165.74652406417113</v>
      </c>
      <c r="AE369" s="1">
        <f t="shared" si="361"/>
        <v>158.27118644067798</v>
      </c>
    </row>
    <row r="370" spans="2:31" outlineLevel="1">
      <c r="C370" s="1" t="s">
        <v>208</v>
      </c>
      <c r="F370" s="1">
        <f t="shared" si="360"/>
        <v>352.10108937494675</v>
      </c>
      <c r="G370" s="1">
        <f t="shared" si="360"/>
        <v>351.72797883944605</v>
      </c>
      <c r="H370" s="1">
        <f t="shared" si="360"/>
        <v>299.57207647937116</v>
      </c>
      <c r="I370" s="1">
        <f t="shared" si="360"/>
        <v>272.68824516803483</v>
      </c>
      <c r="J370" s="1">
        <f t="shared" si="360"/>
        <v>282.72631578947369</v>
      </c>
      <c r="K370" s="1">
        <f t="shared" si="360"/>
        <v>311.94509803921568</v>
      </c>
      <c r="X370" s="1">
        <f t="shared" si="361"/>
        <v>168.411389883211</v>
      </c>
      <c r="Y370" s="1">
        <f t="shared" si="361"/>
        <v>151.88824227409381</v>
      </c>
      <c r="Z370" s="1">
        <f t="shared" si="361"/>
        <v>153.55069215143197</v>
      </c>
      <c r="AA370" s="1">
        <f t="shared" si="361"/>
        <v>159.69811320754718</v>
      </c>
      <c r="AB370" s="1">
        <f t="shared" si="361"/>
        <v>156.20547945205479</v>
      </c>
      <c r="AC370" s="1">
        <f t="shared" si="361"/>
        <v>162.69473684210527</v>
      </c>
      <c r="AD370" s="1">
        <f t="shared" si="361"/>
        <v>172.5566037735849</v>
      </c>
      <c r="AE370" s="1">
        <f t="shared" si="361"/>
        <v>168.48627450980393</v>
      </c>
    </row>
    <row r="371" spans="2:31" outlineLevel="1">
      <c r="C371" s="1" t="s">
        <v>209</v>
      </c>
      <c r="F371" s="1">
        <f t="shared" si="360"/>
        <v>320.22291876087263</v>
      </c>
      <c r="G371" s="1">
        <f t="shared" si="360"/>
        <v>329.76602597646649</v>
      </c>
      <c r="H371" s="1">
        <f t="shared" si="360"/>
        <v>296.25590305198494</v>
      </c>
      <c r="I371" s="1">
        <f t="shared" si="360"/>
        <v>283.20810768968147</v>
      </c>
      <c r="J371" s="1">
        <f t="shared" si="360"/>
        <v>289.69879518072287</v>
      </c>
      <c r="K371" s="1">
        <f t="shared" si="360"/>
        <v>295.20440881763528</v>
      </c>
      <c r="X371" s="1">
        <f t="shared" si="361"/>
        <v>165.36242216640551</v>
      </c>
      <c r="Y371" s="1">
        <f t="shared" si="361"/>
        <v>165.34398550358054</v>
      </c>
      <c r="Z371" s="1">
        <f t="shared" si="361"/>
        <v>166.69332216839254</v>
      </c>
      <c r="AA371" s="1">
        <f t="shared" si="361"/>
        <v>160</v>
      </c>
      <c r="AB371" s="1">
        <f t="shared" si="361"/>
        <v>163.3929961089494</v>
      </c>
      <c r="AC371" s="1">
        <f t="shared" si="361"/>
        <v>163.21686746987953</v>
      </c>
      <c r="AD371" s="1">
        <f t="shared" si="361"/>
        <v>168.66580976863753</v>
      </c>
      <c r="AE371" s="1">
        <f t="shared" si="361"/>
        <v>163.71943887775552</v>
      </c>
    </row>
    <row r="372" spans="2:31" outlineLevel="1">
      <c r="C372" s="1" t="s">
        <v>212</v>
      </c>
      <c r="F372" s="1">
        <f t="shared" si="360"/>
        <v>199.4743587171204</v>
      </c>
      <c r="G372" s="1">
        <f t="shared" si="360"/>
        <v>265.42421214601711</v>
      </c>
      <c r="H372" s="1">
        <f t="shared" si="360"/>
        <v>209.40790500794671</v>
      </c>
      <c r="I372" s="1">
        <f t="shared" si="360"/>
        <v>273.39403208395044</v>
      </c>
      <c r="J372" s="1">
        <f t="shared" si="360"/>
        <v>284.86597938144331</v>
      </c>
      <c r="K372" s="1">
        <f t="shared" si="360"/>
        <v>239.48337028824832</v>
      </c>
      <c r="X372" s="1">
        <f t="shared" si="361"/>
        <v>159.14007857364615</v>
      </c>
      <c r="Y372" s="1">
        <f t="shared" si="361"/>
        <v>119.45916494458152</v>
      </c>
      <c r="Z372" s="1">
        <f t="shared" si="361"/>
        <v>157.68355004496709</v>
      </c>
      <c r="AA372" s="1">
        <f t="shared" si="361"/>
        <v>158.83760683760684</v>
      </c>
      <c r="AB372" s="1">
        <f t="shared" si="361"/>
        <v>162.53061224489795</v>
      </c>
      <c r="AC372" s="1">
        <f t="shared" si="361"/>
        <v>161.71134020618555</v>
      </c>
      <c r="AD372" s="1">
        <f t="shared" si="361"/>
        <v>157.11985018726591</v>
      </c>
      <c r="AE372" s="1">
        <f t="shared" si="361"/>
        <v>146.46563192904657</v>
      </c>
    </row>
    <row r="373" spans="2:31" outlineLevel="1">
      <c r="C373" s="1" t="s">
        <v>213</v>
      </c>
      <c r="F373" s="1">
        <f t="shared" si="360"/>
        <v>282.5354269300957</v>
      </c>
      <c r="G373" s="1">
        <f t="shared" si="360"/>
        <v>317.70950219422093</v>
      </c>
      <c r="H373" s="1">
        <f t="shared" si="360"/>
        <v>237.19794551489534</v>
      </c>
      <c r="I373" s="1">
        <f t="shared" si="360"/>
        <v>269.10681529736434</v>
      </c>
      <c r="J373" s="1">
        <f t="shared" si="360"/>
        <v>305.56730769230768</v>
      </c>
      <c r="K373" s="1">
        <f t="shared" si="360"/>
        <v>274.72043010752691</v>
      </c>
      <c r="X373" s="1">
        <f t="shared" si="361"/>
        <v>148.7986483566138</v>
      </c>
      <c r="Y373" s="1">
        <f t="shared" si="361"/>
        <v>143.21985181598134</v>
      </c>
      <c r="Z373" s="1">
        <f t="shared" si="361"/>
        <v>163.03381402820466</v>
      </c>
      <c r="AA373" s="1">
        <f t="shared" si="361"/>
        <v>155.88888888888889</v>
      </c>
      <c r="AB373" s="1">
        <f t="shared" si="361"/>
        <v>166.26744186046511</v>
      </c>
      <c r="AC373" s="1">
        <f t="shared" si="361"/>
        <v>168.07692307692307</v>
      </c>
      <c r="AD373" s="1">
        <f t="shared" si="361"/>
        <v>161.62686567164178</v>
      </c>
      <c r="AE373" s="1">
        <f t="shared" si="361"/>
        <v>158.27956989247312</v>
      </c>
    </row>
    <row r="374" spans="2:31" outlineLevel="1"/>
    <row r="375" spans="2:31">
      <c r="B375" s="1" t="s">
        <v>224</v>
      </c>
      <c r="F375" s="25">
        <f t="shared" ref="F375:U375" si="362">F400*1000/F363</f>
        <v>125.97943359773591</v>
      </c>
      <c r="G375" s="25">
        <f t="shared" si="362"/>
        <v>133.7968460905399</v>
      </c>
      <c r="H375" s="25">
        <f t="shared" si="362"/>
        <v>140.74246994416362</v>
      </c>
      <c r="I375" s="25">
        <f t="shared" si="362"/>
        <v>127.95040120903597</v>
      </c>
      <c r="J375" s="25">
        <f t="shared" si="362"/>
        <v>116.16018891525277</v>
      </c>
      <c r="K375" s="25">
        <f t="shared" si="362"/>
        <v>76.500276075236741</v>
      </c>
      <c r="L375" s="25">
        <f t="shared" si="362"/>
        <v>114.60071008342443</v>
      </c>
      <c r="M375" s="25">
        <f t="shared" si="362"/>
        <v>120.34420815996296</v>
      </c>
      <c r="N375" s="25">
        <f t="shared" si="362"/>
        <v>120.35667411380881</v>
      </c>
      <c r="O375" s="25">
        <f t="shared" si="362"/>
        <v>122.17433043342704</v>
      </c>
      <c r="P375" s="25">
        <f t="shared" si="362"/>
        <v>125.95282023028355</v>
      </c>
      <c r="Q375" s="25">
        <f t="shared" si="362"/>
        <v>131.17064505102869</v>
      </c>
      <c r="R375" s="25">
        <f t="shared" si="362"/>
        <v>136.62424309891702</v>
      </c>
      <c r="S375" s="25">
        <f t="shared" si="362"/>
        <v>142.31862832087924</v>
      </c>
      <c r="T375" s="25">
        <f t="shared" si="362"/>
        <v>148.2795570967024</v>
      </c>
      <c r="U375" s="25">
        <f t="shared" si="362"/>
        <v>154.51829353570645</v>
      </c>
    </row>
    <row r="376" spans="2:31" s="25" customFormat="1" outlineLevel="1">
      <c r="C376" s="25" t="s">
        <v>208</v>
      </c>
      <c r="F376" s="25">
        <f t="shared" ref="F376:K379" si="363">F402*1000/F364</f>
        <v>131.59840000000003</v>
      </c>
      <c r="G376" s="25">
        <f t="shared" si="363"/>
        <v>140.2816</v>
      </c>
      <c r="H376" s="25">
        <f t="shared" si="363"/>
        <v>151.9718</v>
      </c>
      <c r="I376" s="25">
        <f t="shared" si="363"/>
        <v>139.61793544807946</v>
      </c>
      <c r="J376" s="25">
        <f t="shared" si="363"/>
        <v>120.66020700696228</v>
      </c>
      <c r="K376" s="25">
        <f t="shared" si="363"/>
        <v>74.555439619842602</v>
      </c>
      <c r="X376" s="25">
        <f t="shared" ref="X376:AE379" si="364">X402*1000/X364</f>
        <v>148.66280000000003</v>
      </c>
      <c r="Y376" s="25">
        <f t="shared" si="364"/>
        <v>155.18920379682177</v>
      </c>
      <c r="Z376" s="25">
        <f t="shared" si="364"/>
        <v>150.30799999999999</v>
      </c>
      <c r="AA376" s="25">
        <f t="shared" si="364"/>
        <v>132.05446597353497</v>
      </c>
      <c r="AB376" s="25">
        <f t="shared" si="364"/>
        <v>125.61773217574323</v>
      </c>
      <c r="AC376" s="25">
        <f t="shared" si="364"/>
        <v>117.00268504140787</v>
      </c>
      <c r="AD376" s="25">
        <f t="shared" si="364"/>
        <v>55.199360341151383</v>
      </c>
      <c r="AE376" s="25">
        <f t="shared" si="364"/>
        <v>91.036309468392147</v>
      </c>
    </row>
    <row r="377" spans="2:31" s="25" customFormat="1" outlineLevel="1">
      <c r="C377" s="25" t="s">
        <v>209</v>
      </c>
      <c r="F377" s="25">
        <f t="shared" si="363"/>
        <v>126.65309999999998</v>
      </c>
      <c r="G377" s="25">
        <f t="shared" si="363"/>
        <v>137.97149999999999</v>
      </c>
      <c r="H377" s="25">
        <f t="shared" si="363"/>
        <v>147.1414</v>
      </c>
      <c r="I377" s="25">
        <f t="shared" si="363"/>
        <v>132.96319920299842</v>
      </c>
      <c r="J377" s="25">
        <f t="shared" si="363"/>
        <v>115.85281763360366</v>
      </c>
      <c r="K377" s="25">
        <f t="shared" si="363"/>
        <v>76.520002443875711</v>
      </c>
      <c r="X377" s="25">
        <f t="shared" si="364"/>
        <v>148.92940000000002</v>
      </c>
      <c r="Y377" s="25">
        <f t="shared" si="364"/>
        <v>145.72574216482894</v>
      </c>
      <c r="Z377" s="25">
        <f t="shared" si="364"/>
        <v>139.88700000000003</v>
      </c>
      <c r="AA377" s="25">
        <f t="shared" si="364"/>
        <v>127.63152173913046</v>
      </c>
      <c r="AB377" s="25">
        <f t="shared" si="364"/>
        <v>119.65090969708515</v>
      </c>
      <c r="AC377" s="25">
        <f t="shared" si="364"/>
        <v>112.90955562117074</v>
      </c>
      <c r="AD377" s="25">
        <f t="shared" si="364"/>
        <v>57.938272545762146</v>
      </c>
      <c r="AE377" s="25">
        <f t="shared" si="364"/>
        <v>91.443204073638867</v>
      </c>
    </row>
    <row r="378" spans="2:31" s="25" customFormat="1" outlineLevel="1">
      <c r="C378" s="25" t="s">
        <v>212</v>
      </c>
      <c r="F378" s="25">
        <f t="shared" si="363"/>
        <v>86.387600000000006</v>
      </c>
      <c r="G378" s="25">
        <f t="shared" si="363"/>
        <v>95.305599999999998</v>
      </c>
      <c r="H378" s="25">
        <f t="shared" si="363"/>
        <v>105.084</v>
      </c>
      <c r="I378" s="25">
        <f t="shared" si="363"/>
        <v>105.62573083371885</v>
      </c>
      <c r="J378" s="25">
        <f t="shared" si="363"/>
        <v>104.57134843659526</v>
      </c>
      <c r="K378" s="25">
        <f t="shared" si="363"/>
        <v>75.390558019387626</v>
      </c>
      <c r="X378" s="25">
        <f t="shared" si="364"/>
        <v>102.5365</v>
      </c>
      <c r="Y378" s="25">
        <f t="shared" si="364"/>
        <v>107.00218196132315</v>
      </c>
      <c r="Z378" s="25">
        <f t="shared" si="364"/>
        <v>104.56019999999998</v>
      </c>
      <c r="AA378" s="25">
        <f t="shared" si="364"/>
        <v>106.39421007318123</v>
      </c>
      <c r="AB378" s="25">
        <f t="shared" si="364"/>
        <v>105.97898878285619</v>
      </c>
      <c r="AC378" s="25">
        <f t="shared" si="364"/>
        <v>103.49933061328574</v>
      </c>
      <c r="AD378" s="25">
        <f t="shared" si="364"/>
        <v>58.415103334843032</v>
      </c>
      <c r="AE378" s="25">
        <f t="shared" si="364"/>
        <v>86.171369746881425</v>
      </c>
    </row>
    <row r="379" spans="2:31" s="25" customFormat="1" outlineLevel="1">
      <c r="C379" s="25" t="s">
        <v>213</v>
      </c>
      <c r="F379" s="25">
        <f t="shared" si="363"/>
        <v>140.09520000000001</v>
      </c>
      <c r="G379" s="25">
        <f t="shared" si="363"/>
        <v>153.58019999999999</v>
      </c>
      <c r="H379" s="25">
        <f t="shared" si="363"/>
        <v>156.07239999999999</v>
      </c>
      <c r="I379" s="25">
        <f t="shared" si="363"/>
        <v>136.51590752362085</v>
      </c>
      <c r="J379" s="25">
        <f t="shared" si="363"/>
        <v>143.11362849680606</v>
      </c>
      <c r="K379" s="25">
        <f t="shared" si="363"/>
        <v>87.132999334611924</v>
      </c>
      <c r="X379" s="25">
        <f t="shared" si="364"/>
        <v>152.70300000000003</v>
      </c>
      <c r="Y379" s="25">
        <f t="shared" si="364"/>
        <v>158.28333504073703</v>
      </c>
      <c r="Z379" s="25">
        <f t="shared" si="364"/>
        <v>130.60259999999997</v>
      </c>
      <c r="AA379" s="25">
        <f t="shared" si="364"/>
        <v>140.81058446186742</v>
      </c>
      <c r="AB379" s="25">
        <f t="shared" si="364"/>
        <v>134.28141828099868</v>
      </c>
      <c r="AC379" s="25">
        <f t="shared" si="364"/>
        <v>150.33855835240271</v>
      </c>
      <c r="AD379" s="25">
        <f t="shared" si="364"/>
        <v>82.63486933234833</v>
      </c>
      <c r="AE379" s="25">
        <f t="shared" si="364"/>
        <v>90.442119565217396</v>
      </c>
    </row>
    <row r="380" spans="2:31" outlineLevel="1"/>
    <row r="382" spans="2:31" s="6" customFormat="1">
      <c r="B382" s="6" t="s">
        <v>225</v>
      </c>
      <c r="F382" s="45">
        <v>4</v>
      </c>
      <c r="G382" s="45">
        <v>4.5</v>
      </c>
      <c r="H382" s="45">
        <v>5</v>
      </c>
      <c r="I382" s="45">
        <v>5</v>
      </c>
      <c r="J382" s="45">
        <v>4.8</v>
      </c>
      <c r="K382" s="45">
        <v>3.5</v>
      </c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X382" s="45">
        <v>5</v>
      </c>
      <c r="Y382" s="45"/>
      <c r="Z382" s="45">
        <v>4.9000000000000004</v>
      </c>
      <c r="AA382" s="45"/>
      <c r="AB382" s="45">
        <v>4.8</v>
      </c>
      <c r="AC382" s="45"/>
      <c r="AD382" s="45">
        <v>3.3</v>
      </c>
      <c r="AE382" s="45"/>
    </row>
    <row r="383" spans="2:31" s="47" customFormat="1">
      <c r="C383" s="47" t="s">
        <v>208</v>
      </c>
      <c r="F383" s="48">
        <v>3.9</v>
      </c>
      <c r="G383" s="48">
        <v>4.3</v>
      </c>
      <c r="H383" s="48">
        <v>4.8</v>
      </c>
      <c r="I383" s="48">
        <v>5.0999999999999996</v>
      </c>
      <c r="J383" s="48">
        <v>4.7</v>
      </c>
      <c r="K383" s="48">
        <v>3.4</v>
      </c>
      <c r="L383" s="49">
        <v>4.5</v>
      </c>
      <c r="M383" s="49">
        <v>4.7</v>
      </c>
      <c r="N383" s="49">
        <f t="shared" ref="N383:N386" si="365">M383</f>
        <v>4.7</v>
      </c>
      <c r="O383" s="49">
        <f>N383*(1+1%)</f>
        <v>4.7469999999999999</v>
      </c>
      <c r="P383" s="49">
        <f t="shared" ref="P383:U386" si="366">O383*(1+1%)</f>
        <v>4.7944699999999996</v>
      </c>
      <c r="Q383" s="49">
        <f t="shared" si="366"/>
        <v>4.8424147</v>
      </c>
      <c r="R383" s="49">
        <f t="shared" si="366"/>
        <v>4.8908388470000004</v>
      </c>
      <c r="S383" s="49">
        <f t="shared" si="366"/>
        <v>4.9397472354700005</v>
      </c>
      <c r="T383" s="49">
        <f t="shared" si="366"/>
        <v>4.9891447078247007</v>
      </c>
      <c r="U383" s="49">
        <f t="shared" si="366"/>
        <v>5.0390361549029477</v>
      </c>
      <c r="X383" s="48">
        <v>4.7</v>
      </c>
      <c r="Z383" s="48">
        <v>4.9000000000000004</v>
      </c>
      <c r="AB383" s="48">
        <v>4.8</v>
      </c>
      <c r="AD383" s="48">
        <v>3</v>
      </c>
    </row>
    <row r="384" spans="2:31" s="47" customFormat="1">
      <c r="C384" s="47" t="s">
        <v>209</v>
      </c>
      <c r="F384" s="48">
        <v>4.0999999999999996</v>
      </c>
      <c r="G384" s="48">
        <v>4.8</v>
      </c>
      <c r="H384" s="48">
        <v>5.2</v>
      </c>
      <c r="I384" s="48">
        <v>5.3</v>
      </c>
      <c r="J384" s="48">
        <v>4.9000000000000004</v>
      </c>
      <c r="K384" s="48">
        <v>3.6</v>
      </c>
      <c r="L384" s="49">
        <v>4.7</v>
      </c>
      <c r="M384" s="49">
        <f t="shared" ref="M384:M386" si="367">J384</f>
        <v>4.9000000000000004</v>
      </c>
      <c r="N384" s="49">
        <f t="shared" si="365"/>
        <v>4.9000000000000004</v>
      </c>
      <c r="O384" s="49">
        <f>N384*(1+1%)</f>
        <v>4.9490000000000007</v>
      </c>
      <c r="P384" s="49">
        <f t="shared" si="366"/>
        <v>4.9984900000000012</v>
      </c>
      <c r="Q384" s="49">
        <f t="shared" si="366"/>
        <v>5.0484749000000013</v>
      </c>
      <c r="R384" s="49">
        <f t="shared" si="366"/>
        <v>5.0989596490000011</v>
      </c>
      <c r="S384" s="49">
        <f t="shared" si="366"/>
        <v>5.1499492454900011</v>
      </c>
      <c r="T384" s="49">
        <f t="shared" si="366"/>
        <v>5.2014487379449008</v>
      </c>
      <c r="U384" s="49">
        <f t="shared" si="366"/>
        <v>5.2534632253243503</v>
      </c>
      <c r="X384" s="48">
        <v>5.2</v>
      </c>
      <c r="Z384" s="48">
        <v>5.0999999999999996</v>
      </c>
      <c r="AB384" s="48">
        <v>5</v>
      </c>
      <c r="AD384" s="48">
        <v>3.5</v>
      </c>
    </row>
    <row r="385" spans="2:31" s="47" customFormat="1">
      <c r="C385" s="47" t="s">
        <v>212</v>
      </c>
      <c r="F385" s="48">
        <v>3.5</v>
      </c>
      <c r="G385" s="48">
        <v>4.3</v>
      </c>
      <c r="H385" s="48">
        <v>4.7</v>
      </c>
      <c r="I385" s="48">
        <v>4.8</v>
      </c>
      <c r="J385" s="48">
        <v>4.7</v>
      </c>
      <c r="K385" s="48">
        <v>3.6</v>
      </c>
      <c r="L385" s="49">
        <v>4.7</v>
      </c>
      <c r="M385" s="49">
        <f t="shared" si="367"/>
        <v>4.7</v>
      </c>
      <c r="N385" s="49">
        <f t="shared" si="365"/>
        <v>4.7</v>
      </c>
      <c r="O385" s="49">
        <f>N385*(1+1%)</f>
        <v>4.7469999999999999</v>
      </c>
      <c r="P385" s="49">
        <f t="shared" si="366"/>
        <v>4.7944699999999996</v>
      </c>
      <c r="Q385" s="49">
        <f t="shared" si="366"/>
        <v>4.8424147</v>
      </c>
      <c r="R385" s="49">
        <f t="shared" si="366"/>
        <v>4.8908388470000004</v>
      </c>
      <c r="S385" s="49">
        <f t="shared" si="366"/>
        <v>4.9397472354700005</v>
      </c>
      <c r="T385" s="49">
        <f t="shared" si="366"/>
        <v>4.9891447078247007</v>
      </c>
      <c r="U385" s="49">
        <f t="shared" si="366"/>
        <v>5.0390361549029477</v>
      </c>
      <c r="X385" s="48">
        <v>4.7</v>
      </c>
      <c r="Z385" s="48">
        <v>4.5999999999999996</v>
      </c>
      <c r="AB385" s="48">
        <v>4.7</v>
      </c>
      <c r="AD385" s="48">
        <v>3.6</v>
      </c>
    </row>
    <row r="386" spans="2:31" s="47" customFormat="1">
      <c r="C386" s="47" t="s">
        <v>213</v>
      </c>
      <c r="F386" s="48">
        <v>4.4000000000000004</v>
      </c>
      <c r="G386" s="48">
        <v>4.8</v>
      </c>
      <c r="H386" s="48">
        <v>4.4000000000000004</v>
      </c>
      <c r="I386" s="48">
        <v>3.8</v>
      </c>
      <c r="J386" s="48">
        <v>4.0999999999999996</v>
      </c>
      <c r="K386" s="48">
        <v>2.8</v>
      </c>
      <c r="L386" s="49">
        <v>3.5</v>
      </c>
      <c r="M386" s="49">
        <f t="shared" si="367"/>
        <v>4.0999999999999996</v>
      </c>
      <c r="N386" s="49">
        <f t="shared" si="365"/>
        <v>4.0999999999999996</v>
      </c>
      <c r="O386" s="49">
        <f>N386*(1+1%)</f>
        <v>4.141</v>
      </c>
      <c r="P386" s="49">
        <f t="shared" si="366"/>
        <v>4.18241</v>
      </c>
      <c r="Q386" s="49">
        <f t="shared" si="366"/>
        <v>4.2242341000000003</v>
      </c>
      <c r="R386" s="49">
        <f t="shared" si="366"/>
        <v>4.266476441</v>
      </c>
      <c r="S386" s="49">
        <f t="shared" si="366"/>
        <v>4.3091412054100005</v>
      </c>
      <c r="T386" s="49">
        <f t="shared" si="366"/>
        <v>4.3522326174641002</v>
      </c>
      <c r="U386" s="49">
        <f t="shared" si="366"/>
        <v>4.3957549436387415</v>
      </c>
      <c r="X386" s="48">
        <v>4.4000000000000004</v>
      </c>
      <c r="Z386" s="48">
        <v>3.7</v>
      </c>
      <c r="AB386" s="48">
        <v>3.9</v>
      </c>
      <c r="AD386" s="48">
        <v>2.6</v>
      </c>
    </row>
    <row r="388" spans="2:31">
      <c r="B388" s="1" t="s">
        <v>226</v>
      </c>
      <c r="F388" s="1">
        <f t="shared" ref="F388:K392" si="368">F357/F382</f>
        <v>343.31024308418154</v>
      </c>
      <c r="G388" s="1">
        <f t="shared" si="368"/>
        <v>314.63918229371836</v>
      </c>
      <c r="H388" s="1">
        <f t="shared" si="368"/>
        <v>288.13092111968984</v>
      </c>
      <c r="I388" s="1">
        <f t="shared" si="368"/>
        <v>253.21362842979093</v>
      </c>
      <c r="J388" s="1">
        <f t="shared" si="368"/>
        <v>230.09174657772132</v>
      </c>
      <c r="K388" s="1">
        <f t="shared" si="368"/>
        <v>198.58515329684172</v>
      </c>
      <c r="X388" s="1">
        <f t="shared" ref="X388" si="369">X357/X382</f>
        <v>289.58707654236531</v>
      </c>
      <c r="Z388" s="1">
        <f t="shared" ref="Z388" si="370">Z357/Z382</f>
        <v>270.46590559760028</v>
      </c>
      <c r="AB388" s="1">
        <f t="shared" ref="AB388" si="371">AB357/AB382</f>
        <v>236.91866190370433</v>
      </c>
      <c r="AD388" s="1">
        <f t="shared" ref="AD388" si="372">AD357/AD382</f>
        <v>158.86068298651418</v>
      </c>
    </row>
    <row r="389" spans="2:31">
      <c r="C389" s="47" t="s">
        <v>208</v>
      </c>
      <c r="F389" s="1">
        <f t="shared" si="368"/>
        <v>362.05128205128204</v>
      </c>
      <c r="G389" s="1">
        <f t="shared" si="368"/>
        <v>342.32558139534888</v>
      </c>
      <c r="H389" s="1">
        <f t="shared" si="368"/>
        <v>322.08333333333337</v>
      </c>
      <c r="I389" s="1">
        <f t="shared" si="368"/>
        <v>258.02135508136888</v>
      </c>
      <c r="J389" s="1">
        <f t="shared" si="368"/>
        <v>233.173337598242</v>
      </c>
      <c r="K389" s="1">
        <f t="shared" si="368"/>
        <v>188.70972871277365</v>
      </c>
      <c r="L389" s="1">
        <f t="shared" ref="L389:U392" si="373">K389*(1+L395)</f>
        <v>213.37202926877848</v>
      </c>
      <c r="M389" s="1">
        <f t="shared" si="373"/>
        <v>202.70342780533954</v>
      </c>
      <c r="N389" s="1">
        <f t="shared" si="373"/>
        <v>186.48715358091238</v>
      </c>
      <c r="O389" s="1">
        <f t="shared" si="373"/>
        <v>173.4330528302485</v>
      </c>
      <c r="P389" s="1">
        <f t="shared" si="373"/>
        <v>164.76140018873608</v>
      </c>
      <c r="Q389" s="1">
        <f t="shared" si="373"/>
        <v>159.81855818307397</v>
      </c>
      <c r="R389" s="1">
        <f t="shared" si="373"/>
        <v>155.02400143758175</v>
      </c>
      <c r="S389" s="1">
        <f t="shared" si="373"/>
        <v>150.3732813944543</v>
      </c>
      <c r="T389" s="1">
        <f t="shared" si="373"/>
        <v>145.86208295262065</v>
      </c>
      <c r="U389" s="1">
        <f t="shared" si="373"/>
        <v>141.48622046404202</v>
      </c>
      <c r="X389" s="1">
        <f>X358/X383</f>
        <v>312.55319148936167</v>
      </c>
      <c r="Z389" s="1">
        <f>Z358/Z383</f>
        <v>289.38775510204079</v>
      </c>
      <c r="AB389" s="1">
        <f>AB358/AB383</f>
        <v>237.91237154496824</v>
      </c>
      <c r="AD389" s="1">
        <f>AD358/AD383</f>
        <v>155.79836393212361</v>
      </c>
    </row>
    <row r="390" spans="2:31">
      <c r="C390" s="47" t="s">
        <v>209</v>
      </c>
      <c r="F390" s="1">
        <f t="shared" si="368"/>
        <v>358.78048780487808</v>
      </c>
      <c r="G390" s="1">
        <f t="shared" si="368"/>
        <v>324.79166666666669</v>
      </c>
      <c r="H390" s="1">
        <f t="shared" si="368"/>
        <v>305.57692307692309</v>
      </c>
      <c r="I390" s="1">
        <f t="shared" si="368"/>
        <v>264.6349797050363</v>
      </c>
      <c r="J390" s="1">
        <f t="shared" si="368"/>
        <v>237.86149064510258</v>
      </c>
      <c r="K390" s="1">
        <f t="shared" si="368"/>
        <v>201.09324725080344</v>
      </c>
      <c r="L390" s="1">
        <f t="shared" si="373"/>
        <v>220.11232038708056</v>
      </c>
      <c r="M390" s="1">
        <f t="shared" si="373"/>
        <v>202.50333475611413</v>
      </c>
      <c r="N390" s="1">
        <f t="shared" si="373"/>
        <v>186.303067975625</v>
      </c>
      <c r="O390" s="1">
        <f t="shared" si="373"/>
        <v>171.398822537575</v>
      </c>
      <c r="P390" s="1">
        <f t="shared" si="373"/>
        <v>162.82888141069625</v>
      </c>
      <c r="Q390" s="1">
        <f t="shared" si="373"/>
        <v>157.94401496837537</v>
      </c>
      <c r="R390" s="1">
        <f t="shared" si="373"/>
        <v>153.20569451932411</v>
      </c>
      <c r="S390" s="1">
        <f t="shared" si="373"/>
        <v>148.60952368374438</v>
      </c>
      <c r="T390" s="1">
        <f t="shared" si="373"/>
        <v>144.15123797323204</v>
      </c>
      <c r="U390" s="1">
        <f t="shared" si="373"/>
        <v>139.82670083403508</v>
      </c>
      <c r="X390" s="1">
        <f>X359/X384</f>
        <v>315.76923076923077</v>
      </c>
      <c r="Z390" s="1">
        <f>Z359/Z384</f>
        <v>291.1764705882353</v>
      </c>
      <c r="AB390" s="1">
        <f>AB359/AB384</f>
        <v>243.19290588838447</v>
      </c>
      <c r="AD390" s="1">
        <f>AD359/AD384</f>
        <v>154.13214297888302</v>
      </c>
    </row>
    <row r="391" spans="2:31">
      <c r="C391" s="47" t="s">
        <v>212</v>
      </c>
      <c r="F391" s="1">
        <f t="shared" si="368"/>
        <v>274.85714285714283</v>
      </c>
      <c r="G391" s="1">
        <f t="shared" si="368"/>
        <v>238.83720930232559</v>
      </c>
      <c r="H391" s="1">
        <f t="shared" si="368"/>
        <v>236.59574468085106</v>
      </c>
      <c r="I391" s="1">
        <f t="shared" si="368"/>
        <v>238.92899663798147</v>
      </c>
      <c r="J391" s="1">
        <f t="shared" si="368"/>
        <v>234.44913668720767</v>
      </c>
      <c r="K391" s="1">
        <f t="shared" si="368"/>
        <v>209.00021628794525</v>
      </c>
      <c r="L391" s="1">
        <f t="shared" si="373"/>
        <v>229.59671211305675</v>
      </c>
      <c r="M391" s="1">
        <f t="shared" si="373"/>
        <v>229.59671211305675</v>
      </c>
      <c r="N391" s="1">
        <f t="shared" si="373"/>
        <v>229.59671211305675</v>
      </c>
      <c r="O391" s="1">
        <f t="shared" si="373"/>
        <v>229.59671211305675</v>
      </c>
      <c r="P391" s="1">
        <f t="shared" si="373"/>
        <v>229.59671211305675</v>
      </c>
      <c r="Q391" s="1">
        <f t="shared" si="373"/>
        <v>229.59671211305675</v>
      </c>
      <c r="R391" s="1">
        <f t="shared" si="373"/>
        <v>229.59671211305675</v>
      </c>
      <c r="S391" s="1">
        <f t="shared" si="373"/>
        <v>229.59671211305675</v>
      </c>
      <c r="T391" s="1">
        <f t="shared" si="373"/>
        <v>229.59671211305675</v>
      </c>
      <c r="U391" s="1">
        <f t="shared" si="373"/>
        <v>229.59671211305675</v>
      </c>
      <c r="X391" s="1">
        <f>X360/X385</f>
        <v>241.06382978723403</v>
      </c>
      <c r="Z391" s="1">
        <f>Z360/Z385</f>
        <v>247.60869565217394</v>
      </c>
      <c r="AB391" s="1">
        <f>AB360/AB385</f>
        <v>237.8557069370145</v>
      </c>
      <c r="AD391" s="1">
        <f>AD360/AD385</f>
        <v>159.39506476436102</v>
      </c>
    </row>
    <row r="392" spans="2:31">
      <c r="C392" s="47" t="s">
        <v>213</v>
      </c>
      <c r="F392" s="1">
        <f t="shared" si="368"/>
        <v>147.95454545454544</v>
      </c>
      <c r="G392" s="1">
        <f t="shared" si="368"/>
        <v>148.54166666666669</v>
      </c>
      <c r="H392" s="1">
        <f t="shared" si="368"/>
        <v>197.49999999999997</v>
      </c>
      <c r="I392" s="1">
        <f t="shared" si="368"/>
        <v>180.25709393881331</v>
      </c>
      <c r="J392" s="1">
        <f t="shared" si="368"/>
        <v>188.37432837561511</v>
      </c>
      <c r="K392" s="1">
        <f t="shared" si="368"/>
        <v>161.57283662403935</v>
      </c>
      <c r="L392" s="1">
        <f t="shared" si="373"/>
        <v>168.40378647200609</v>
      </c>
      <c r="M392" s="1">
        <f t="shared" si="373"/>
        <v>193.664354442807</v>
      </c>
      <c r="N392" s="1">
        <f t="shared" si="373"/>
        <v>193.664354442807</v>
      </c>
      <c r="O392" s="1">
        <f t="shared" si="373"/>
        <v>193.664354442807</v>
      </c>
      <c r="P392" s="1">
        <f t="shared" si="373"/>
        <v>193.664354442807</v>
      </c>
      <c r="Q392" s="1">
        <f t="shared" si="373"/>
        <v>193.664354442807</v>
      </c>
      <c r="R392" s="1">
        <f t="shared" si="373"/>
        <v>193.664354442807</v>
      </c>
      <c r="S392" s="1">
        <f t="shared" si="373"/>
        <v>193.664354442807</v>
      </c>
      <c r="T392" s="1">
        <f t="shared" si="373"/>
        <v>193.664354442807</v>
      </c>
      <c r="U392" s="1">
        <f t="shared" si="373"/>
        <v>193.664354442807</v>
      </c>
      <c r="X392" s="1">
        <f>X361/X386</f>
        <v>164.09090909090907</v>
      </c>
      <c r="Z392" s="1">
        <f>Z361/Z386</f>
        <v>180</v>
      </c>
      <c r="AB392" s="1">
        <f>AB361/AB386</f>
        <v>185.61257624023591</v>
      </c>
      <c r="AD392" s="1">
        <f>AD361/AD386</f>
        <v>166.14031390958286</v>
      </c>
    </row>
    <row r="394" spans="2:31" s="8" customFormat="1">
      <c r="C394" s="50" t="s">
        <v>30</v>
      </c>
      <c r="G394" s="8">
        <f>G388/F388-1</f>
        <v>-8.3513560600150472E-2</v>
      </c>
      <c r="H394" s="8">
        <f>H388/G388-1</f>
        <v>-8.4249714167140333E-2</v>
      </c>
      <c r="I394" s="8">
        <f>I388/H388-1</f>
        <v>-0.12118551023336455</v>
      </c>
      <c r="J394" s="8">
        <f>J388/I388-1</f>
        <v>-9.131373376485008E-2</v>
      </c>
      <c r="K394" s="8">
        <f>K388/J388-1</f>
        <v>-0.13693056682603422</v>
      </c>
      <c r="Z394" s="8">
        <f>Z388/X388-1</f>
        <v>-6.6029089326324564E-2</v>
      </c>
      <c r="AB394" s="8">
        <f>AB388/Z388-1</f>
        <v>-0.12403501883083046</v>
      </c>
      <c r="AD394" s="8">
        <f>AD388/AB388-1</f>
        <v>-0.32947163507498134</v>
      </c>
    </row>
    <row r="395" spans="2:31" s="8" customFormat="1">
      <c r="C395" s="26" t="s">
        <v>208</v>
      </c>
      <c r="G395" s="8">
        <f t="shared" ref="G395:K398" si="374">G389/F389-1</f>
        <v>-5.4483167534092991E-2</v>
      </c>
      <c r="H395" s="8">
        <f t="shared" si="374"/>
        <v>-5.9131567028985477E-2</v>
      </c>
      <c r="I395" s="8">
        <f t="shared" si="374"/>
        <v>-0.19889876818203722</v>
      </c>
      <c r="J395" s="8">
        <f t="shared" si="374"/>
        <v>-9.6302174195197487E-2</v>
      </c>
      <c r="K395" s="8">
        <f t="shared" si="374"/>
        <v>-0.19068907853469597</v>
      </c>
      <c r="L395" s="9">
        <f>-K395-6%</f>
        <v>0.13068907853469597</v>
      </c>
      <c r="M395" s="9">
        <v>-0.05</v>
      </c>
      <c r="N395" s="9">
        <v>-0.08</v>
      </c>
      <c r="O395" s="9">
        <v>-7.0000000000000007E-2</v>
      </c>
      <c r="P395" s="9">
        <v>-0.05</v>
      </c>
      <c r="Q395" s="9">
        <v>-0.03</v>
      </c>
      <c r="R395" s="9">
        <v>-0.03</v>
      </c>
      <c r="S395" s="9">
        <v>-0.03</v>
      </c>
      <c r="T395" s="9">
        <v>-0.03</v>
      </c>
      <c r="U395" s="9">
        <v>-0.03</v>
      </c>
      <c r="Z395" s="8">
        <f t="shared" ref="Z395:Z398" si="375">Z389/X389-1</f>
        <v>-7.4116780817160111E-2</v>
      </c>
      <c r="AB395" s="8">
        <f t="shared" ref="AB395:AB398" si="376">AB389/Z389-1</f>
        <v>-0.17787685432274714</v>
      </c>
      <c r="AD395" s="8">
        <f t="shared" ref="AD395:AD398" si="377">AD389/AB389-1</f>
        <v>-0.34514391613856921</v>
      </c>
    </row>
    <row r="396" spans="2:31" s="8" customFormat="1">
      <c r="C396" s="26" t="s">
        <v>209</v>
      </c>
      <c r="G396" s="8">
        <f t="shared" si="374"/>
        <v>-9.4734307727169731E-2</v>
      </c>
      <c r="H396" s="8">
        <f t="shared" si="374"/>
        <v>-5.916021118073711E-2</v>
      </c>
      <c r="I396" s="8">
        <f t="shared" si="374"/>
        <v>-0.13398244526986236</v>
      </c>
      <c r="J396" s="8">
        <f t="shared" si="374"/>
        <v>-0.10117139121130403</v>
      </c>
      <c r="K396" s="8">
        <f t="shared" si="374"/>
        <v>-0.154578377923136</v>
      </c>
      <c r="L396" s="9">
        <f>-K396-6%</f>
        <v>9.4578377923136003E-2</v>
      </c>
      <c r="M396" s="9">
        <v>-0.08</v>
      </c>
      <c r="N396" s="9">
        <v>-0.08</v>
      </c>
      <c r="O396" s="9">
        <v>-0.08</v>
      </c>
      <c r="P396" s="9">
        <v>-0.05</v>
      </c>
      <c r="Q396" s="9">
        <v>-0.03</v>
      </c>
      <c r="R396" s="9">
        <v>-0.03</v>
      </c>
      <c r="S396" s="9">
        <v>-0.03</v>
      </c>
      <c r="T396" s="9">
        <v>-0.03</v>
      </c>
      <c r="U396" s="9">
        <v>-0.03</v>
      </c>
      <c r="Z396" s="8">
        <f t="shared" si="375"/>
        <v>-7.7882066346636081E-2</v>
      </c>
      <c r="AB396" s="8">
        <f t="shared" si="376"/>
        <v>-0.16479204038332607</v>
      </c>
      <c r="AD396" s="8">
        <f t="shared" si="377"/>
        <v>-0.36621447728568479</v>
      </c>
    </row>
    <row r="397" spans="2:31" s="8" customFormat="1">
      <c r="C397" s="26" t="s">
        <v>212</v>
      </c>
      <c r="G397" s="8">
        <f t="shared" si="374"/>
        <v>-0.13104965430546811</v>
      </c>
      <c r="H397" s="8">
        <f t="shared" si="374"/>
        <v>-9.3849054258426934E-3</v>
      </c>
      <c r="I397" s="8">
        <f t="shared" si="374"/>
        <v>9.8617663655691246E-3</v>
      </c>
      <c r="J397" s="8">
        <f t="shared" si="374"/>
        <v>-1.8749754168856936E-2</v>
      </c>
      <c r="K397" s="8">
        <f t="shared" si="374"/>
        <v>-0.10854772493027054</v>
      </c>
      <c r="L397" s="9">
        <f>-K397-1%</f>
        <v>9.8547724930270544E-2</v>
      </c>
      <c r="M397" s="9">
        <v>0</v>
      </c>
      <c r="N397" s="9">
        <v>0</v>
      </c>
      <c r="O397" s="9">
        <v>0</v>
      </c>
      <c r="P397" s="9">
        <v>0</v>
      </c>
      <c r="Q397" s="9">
        <v>0</v>
      </c>
      <c r="R397" s="9">
        <v>0</v>
      </c>
      <c r="S397" s="9">
        <v>0</v>
      </c>
      <c r="T397" s="9">
        <v>0</v>
      </c>
      <c r="U397" s="9">
        <v>0</v>
      </c>
      <c r="Z397" s="8">
        <f t="shared" si="375"/>
        <v>2.7149929007252993E-2</v>
      </c>
      <c r="AB397" s="8">
        <f t="shared" si="376"/>
        <v>-3.9388716496693066E-2</v>
      </c>
      <c r="AD397" s="8">
        <f t="shared" si="377"/>
        <v>-0.32986655305870083</v>
      </c>
    </row>
    <row r="398" spans="2:31" s="8" customFormat="1">
      <c r="C398" s="26" t="s">
        <v>213</v>
      </c>
      <c r="G398" s="8">
        <f t="shared" si="374"/>
        <v>3.9682539682541762E-3</v>
      </c>
      <c r="H398" s="8">
        <f t="shared" si="374"/>
        <v>0.32959326788218757</v>
      </c>
      <c r="I398" s="8">
        <f t="shared" si="374"/>
        <v>-8.7305853474362816E-2</v>
      </c>
      <c r="J398" s="8">
        <f t="shared" si="374"/>
        <v>4.5031428497106063E-2</v>
      </c>
      <c r="K398" s="8">
        <f t="shared" si="374"/>
        <v>-0.14227783574699226</v>
      </c>
      <c r="L398" s="9">
        <f>-K398-10%</f>
        <v>4.2277835746992259E-2</v>
      </c>
      <c r="M398" s="9">
        <v>0.15</v>
      </c>
      <c r="N398" s="9">
        <v>0</v>
      </c>
      <c r="O398" s="9">
        <v>0</v>
      </c>
      <c r="P398" s="9">
        <v>0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  <c r="Z398" s="8">
        <f t="shared" si="375"/>
        <v>9.6952908587257802E-2</v>
      </c>
      <c r="AB398" s="8">
        <f t="shared" si="376"/>
        <v>3.1180979112421792E-2</v>
      </c>
      <c r="AD398" s="8">
        <f t="shared" si="377"/>
        <v>-0.10490809795910794</v>
      </c>
    </row>
    <row r="399" spans="2:31" s="8" customFormat="1"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</row>
    <row r="400" spans="2:31" s="6" customFormat="1">
      <c r="B400" s="6" t="s">
        <v>227</v>
      </c>
      <c r="F400" s="6">
        <f t="shared" ref="F400:I400" si="378">F402+F403+F404+F405</f>
        <v>5783.6110000000008</v>
      </c>
      <c r="G400" s="6">
        <f t="shared" si="378"/>
        <v>7662.8540000000012</v>
      </c>
      <c r="H400" s="6">
        <f t="shared" si="378"/>
        <v>10411.958999999999</v>
      </c>
      <c r="I400" s="6">
        <f t="shared" si="378"/>
        <v>16531.701000000001</v>
      </c>
      <c r="J400" s="6">
        <f>J402+J403+J404+J405</f>
        <v>25677.384000000002</v>
      </c>
      <c r="K400" s="6">
        <f>K402+K403+K404+K405</f>
        <v>27571.387999999999</v>
      </c>
      <c r="L400" s="6">
        <f t="shared" ref="L400:U400" si="379">L402+L403+L404+L405</f>
        <v>62660.230252313981</v>
      </c>
      <c r="M400" s="6">
        <f t="shared" si="379"/>
        <v>83370.857086977543</v>
      </c>
      <c r="N400" s="6">
        <f t="shared" si="379"/>
        <v>98755.058243862411</v>
      </c>
      <c r="O400" s="6">
        <f t="shared" si="379"/>
        <v>113935.8709836402</v>
      </c>
      <c r="P400" s="6">
        <f t="shared" si="379"/>
        <v>130930.47568578436</v>
      </c>
      <c r="Q400" s="6">
        <f t="shared" si="379"/>
        <v>150717.69457653299</v>
      </c>
      <c r="R400" s="6">
        <f t="shared" si="379"/>
        <v>169450.94998829384</v>
      </c>
      <c r="S400" s="6">
        <f t="shared" si="379"/>
        <v>187414.84743965961</v>
      </c>
      <c r="T400" s="6">
        <f t="shared" si="379"/>
        <v>205555.50161644563</v>
      </c>
      <c r="U400" s="6">
        <f t="shared" si="379"/>
        <v>225483.91020785036</v>
      </c>
      <c r="X400" s="6">
        <f t="shared" ref="X400:AC400" si="380">X402+X403+X404+X405</f>
        <v>4675.7299999999996</v>
      </c>
      <c r="Y400" s="6">
        <f t="shared" si="380"/>
        <v>5736.2289999999994</v>
      </c>
      <c r="Z400" s="6">
        <f t="shared" si="380"/>
        <v>7301.6680000000006</v>
      </c>
      <c r="AA400" s="6">
        <f t="shared" si="380"/>
        <v>9230.0329999999994</v>
      </c>
      <c r="AB400" s="6">
        <f t="shared" si="380"/>
        <v>11381.314</v>
      </c>
      <c r="AC400" s="6">
        <f t="shared" si="380"/>
        <v>14296.07</v>
      </c>
      <c r="AD400" s="6">
        <f>AD402+AD403+AD404+AD405</f>
        <v>9166.1159999999982</v>
      </c>
      <c r="AE400" s="6">
        <f>AE402+AE403+AE404+AE405</f>
        <v>18405.272000000001</v>
      </c>
    </row>
    <row r="401" spans="2:31" s="8" customFormat="1">
      <c r="C401" s="8" t="s">
        <v>30</v>
      </c>
      <c r="G401" s="8">
        <f t="shared" ref="G401:I401" si="381">G400/F400-1</f>
        <v>0.32492555256568956</v>
      </c>
      <c r="H401" s="8">
        <f t="shared" si="381"/>
        <v>0.35875732462082621</v>
      </c>
      <c r="I401" s="8">
        <f t="shared" si="381"/>
        <v>0.58776086229306146</v>
      </c>
      <c r="J401" s="8">
        <f>J400/I400-1</f>
        <v>0.55322092989705052</v>
      </c>
      <c r="K401" s="8">
        <f t="shared" ref="K401:R401" si="382">K400/J400-1</f>
        <v>7.3761563872705826E-2</v>
      </c>
      <c r="L401" s="8">
        <f t="shared" si="382"/>
        <v>1.2726541823833455</v>
      </c>
      <c r="M401" s="8">
        <f t="shared" si="382"/>
        <v>0.33052267365230015</v>
      </c>
      <c r="N401" s="8">
        <f t="shared" si="382"/>
        <v>0.18452732398846683</v>
      </c>
      <c r="O401" s="8">
        <f t="shared" si="382"/>
        <v>0.15372187521059222</v>
      </c>
      <c r="P401" s="8">
        <f t="shared" si="382"/>
        <v>0.14915938725376821</v>
      </c>
      <c r="Q401" s="8">
        <f t="shared" si="382"/>
        <v>0.15112767892354806</v>
      </c>
      <c r="R401" s="8">
        <f t="shared" si="382"/>
        <v>0.12429367012542958</v>
      </c>
      <c r="S401" s="8">
        <f>S400/R400-1</f>
        <v>0.10601237380260642</v>
      </c>
      <c r="T401" s="8">
        <f t="shared" ref="T401:U401" si="383">T400/S400-1</f>
        <v>9.6794114365067019E-2</v>
      </c>
      <c r="U401" s="8">
        <f t="shared" si="383"/>
        <v>9.6949040209052484E-2</v>
      </c>
      <c r="Z401" s="8">
        <f>Z400/X400-1</f>
        <v>0.56161027262053231</v>
      </c>
      <c r="AA401" s="8">
        <f t="shared" ref="AA401:AE401" si="384">AA400/Y400-1</f>
        <v>0.60907679940950765</v>
      </c>
      <c r="AB401" s="8">
        <f t="shared" si="384"/>
        <v>0.55872795092847261</v>
      </c>
      <c r="AC401" s="8">
        <f t="shared" si="384"/>
        <v>0.54886445151387875</v>
      </c>
      <c r="AD401" s="8">
        <f t="shared" si="384"/>
        <v>-0.19463464411929954</v>
      </c>
      <c r="AE401" s="8">
        <f t="shared" si="384"/>
        <v>0.28743577780466945</v>
      </c>
    </row>
    <row r="402" spans="2:31">
      <c r="C402" s="1" t="s">
        <v>208</v>
      </c>
      <c r="F402" s="2">
        <v>2316.797</v>
      </c>
      <c r="G402" s="2">
        <v>2713.7530000000002</v>
      </c>
      <c r="H402" s="2">
        <v>2959.223</v>
      </c>
      <c r="I402" s="2">
        <v>4035.65</v>
      </c>
      <c r="J402" s="2">
        <v>6481.625</v>
      </c>
      <c r="K402" s="2">
        <v>5930.5870000000004</v>
      </c>
      <c r="L402" s="1">
        <f t="shared" ref="L402:U405" si="385">L324*L336</f>
        <v>11867.126485309014</v>
      </c>
      <c r="M402" s="1">
        <f t="shared" si="385"/>
        <v>14281.690320499873</v>
      </c>
      <c r="N402" s="1">
        <f t="shared" si="385"/>
        <v>15277.544660214409</v>
      </c>
      <c r="O402" s="1">
        <f t="shared" si="385"/>
        <v>16227.980026825231</v>
      </c>
      <c r="P402" s="1">
        <f t="shared" si="385"/>
        <v>17300.608162486482</v>
      </c>
      <c r="Q402" s="1">
        <f t="shared" si="385"/>
        <v>18755.459916441716</v>
      </c>
      <c r="R402" s="1">
        <f t="shared" si="385"/>
        <v>20115.194271953304</v>
      </c>
      <c r="S402" s="1">
        <f t="shared" si="385"/>
        <v>21426.98664078971</v>
      </c>
      <c r="T402" s="1">
        <f t="shared" si="385"/>
        <v>22677.039158535787</v>
      </c>
      <c r="U402" s="1">
        <f t="shared" si="385"/>
        <v>24043.126940094055</v>
      </c>
      <c r="X402" s="2">
        <v>1427.0809999999999</v>
      </c>
      <c r="Y402" s="1">
        <f t="shared" ref="Y402:Y405" si="386">H402-X402</f>
        <v>1532.1420000000001</v>
      </c>
      <c r="Z402" s="2">
        <v>1800.232</v>
      </c>
      <c r="AA402" s="1">
        <f t="shared" ref="AA402:AA405" si="387">I402-Z402</f>
        <v>2235.4180000000001</v>
      </c>
      <c r="AB402" s="2">
        <v>2864.8380000000002</v>
      </c>
      <c r="AC402" s="1">
        <f t="shared" ref="AC402:AC405" si="388">J402-AB402</f>
        <v>3616.7869999999998</v>
      </c>
      <c r="AD402" s="2">
        <v>2019.3030000000001</v>
      </c>
      <c r="AE402" s="1">
        <f>K402-AD402</f>
        <v>3911.2840000000006</v>
      </c>
    </row>
    <row r="403" spans="2:31">
      <c r="C403" s="1" t="s">
        <v>209</v>
      </c>
      <c r="F403" s="2">
        <v>2879.5630000000001</v>
      </c>
      <c r="G403" s="2">
        <v>3776.36</v>
      </c>
      <c r="H403" s="2">
        <v>5230.9809999999998</v>
      </c>
      <c r="I403" s="2">
        <v>7794.8450000000003</v>
      </c>
      <c r="J403" s="2">
        <v>11142.724</v>
      </c>
      <c r="K403" s="2">
        <v>11271.932000000001</v>
      </c>
      <c r="L403" s="1">
        <f t="shared" si="385"/>
        <v>23845.785182406737</v>
      </c>
      <c r="M403" s="1">
        <f t="shared" si="385"/>
        <v>29924.089467869901</v>
      </c>
      <c r="N403" s="1">
        <f t="shared" si="385"/>
        <v>33901.123355694886</v>
      </c>
      <c r="O403" s="1">
        <f t="shared" si="385"/>
        <v>37354.793386305799</v>
      </c>
      <c r="P403" s="1">
        <f t="shared" si="385"/>
        <v>41739.177659605921</v>
      </c>
      <c r="Q403" s="1">
        <f t="shared" si="385"/>
        <v>47265.154330763107</v>
      </c>
      <c r="R403" s="1">
        <f t="shared" si="385"/>
        <v>52331.66927073917</v>
      </c>
      <c r="S403" s="1">
        <f t="shared" si="385"/>
        <v>57042.381359748309</v>
      </c>
      <c r="T403" s="1">
        <f t="shared" si="385"/>
        <v>61659.638657117699</v>
      </c>
      <c r="U403" s="1">
        <f t="shared" si="385"/>
        <v>66659.774924340498</v>
      </c>
      <c r="X403" s="2">
        <v>2339.596</v>
      </c>
      <c r="Y403" s="1">
        <f t="shared" si="386"/>
        <v>2891.3849999999998</v>
      </c>
      <c r="Z403" s="2">
        <v>3567.6889999999999</v>
      </c>
      <c r="AA403" s="1">
        <f t="shared" si="387"/>
        <v>4227.1560000000009</v>
      </c>
      <c r="AB403" s="2">
        <v>5024.3810000000003</v>
      </c>
      <c r="AC403" s="1">
        <f t="shared" si="388"/>
        <v>6118.3429999999998</v>
      </c>
      <c r="AD403" s="2">
        <v>3801.3879999999999</v>
      </c>
      <c r="AE403" s="1">
        <f t="shared" ref="AE403:AE407" si="389">K403-AD403</f>
        <v>7470.5440000000008</v>
      </c>
    </row>
    <row r="404" spans="2:31">
      <c r="C404" s="1" t="s">
        <v>212</v>
      </c>
      <c r="F404" s="2">
        <v>310.178</v>
      </c>
      <c r="G404" s="2">
        <v>733.596</v>
      </c>
      <c r="H404" s="2">
        <v>1518.374</v>
      </c>
      <c r="I404" s="2">
        <v>3378.6610000000001</v>
      </c>
      <c r="J404" s="2">
        <v>5779.0309999999999</v>
      </c>
      <c r="K404" s="2">
        <v>8142.7079999999996</v>
      </c>
      <c r="L404" s="1">
        <f t="shared" si="385"/>
        <v>22573.829391347219</v>
      </c>
      <c r="M404" s="1">
        <f t="shared" si="385"/>
        <v>32012.47647228355</v>
      </c>
      <c r="N404" s="1">
        <f t="shared" si="385"/>
        <v>41204.737434707538</v>
      </c>
      <c r="O404" s="1">
        <f t="shared" si="385"/>
        <v>50693.147161009663</v>
      </c>
      <c r="P404" s="1">
        <f t="shared" si="385"/>
        <v>60889.293835397657</v>
      </c>
      <c r="Q404" s="1">
        <f t="shared" si="385"/>
        <v>72214.437987785233</v>
      </c>
      <c r="R404" s="1">
        <f t="shared" si="385"/>
        <v>83081.081045482104</v>
      </c>
      <c r="S404" s="1">
        <f t="shared" si="385"/>
        <v>93597.119738663052</v>
      </c>
      <c r="T404" s="1">
        <f t="shared" si="385"/>
        <v>104424.89865518156</v>
      </c>
      <c r="U404" s="1">
        <f t="shared" si="385"/>
        <v>116388.52302426336</v>
      </c>
      <c r="X404" s="2">
        <v>636.38900000000001</v>
      </c>
      <c r="Y404" s="1">
        <f t="shared" si="386"/>
        <v>881.98500000000001</v>
      </c>
      <c r="Z404" s="2">
        <v>1401.431</v>
      </c>
      <c r="AA404" s="1">
        <f t="shared" si="387"/>
        <v>1977.23</v>
      </c>
      <c r="AB404" s="2">
        <v>2532.0500000000002</v>
      </c>
      <c r="AC404" s="1">
        <f t="shared" si="388"/>
        <v>3246.9809999999998</v>
      </c>
      <c r="AD404" s="2">
        <v>2450.5720000000001</v>
      </c>
      <c r="AE404" s="1">
        <f t="shared" si="389"/>
        <v>5692.1359999999995</v>
      </c>
    </row>
    <row r="405" spans="2:31">
      <c r="C405" s="1" t="s">
        <v>213</v>
      </c>
      <c r="F405" s="2">
        <v>277.07299999999998</v>
      </c>
      <c r="G405" s="2">
        <v>439.14499999999998</v>
      </c>
      <c r="H405" s="2">
        <v>703.38099999999997</v>
      </c>
      <c r="I405" s="2">
        <v>1322.5450000000001</v>
      </c>
      <c r="J405" s="2">
        <v>2274.0039999999999</v>
      </c>
      <c r="K405" s="2">
        <v>2226.1610000000001</v>
      </c>
      <c r="L405" s="1">
        <f t="shared" si="385"/>
        <v>4373.4891932510109</v>
      </c>
      <c r="M405" s="1">
        <f t="shared" si="385"/>
        <v>7152.6008263242265</v>
      </c>
      <c r="N405" s="1">
        <f t="shared" si="385"/>
        <v>8371.652793245572</v>
      </c>
      <c r="O405" s="1">
        <f t="shared" si="385"/>
        <v>9659.9504094995082</v>
      </c>
      <c r="P405" s="1">
        <f t="shared" si="385"/>
        <v>11001.396028294306</v>
      </c>
      <c r="Q405" s="1">
        <f t="shared" si="385"/>
        <v>12482.642341542929</v>
      </c>
      <c r="R405" s="1">
        <f t="shared" si="385"/>
        <v>13923.005400119266</v>
      </c>
      <c r="S405" s="1">
        <f t="shared" si="385"/>
        <v>15348.359700458552</v>
      </c>
      <c r="T405" s="1">
        <f t="shared" si="385"/>
        <v>16793.925145610589</v>
      </c>
      <c r="U405" s="1">
        <f t="shared" si="385"/>
        <v>18392.485319152434</v>
      </c>
      <c r="X405" s="2">
        <v>272.66399999999999</v>
      </c>
      <c r="Y405" s="1">
        <f t="shared" si="386"/>
        <v>430.71699999999998</v>
      </c>
      <c r="Z405" s="2">
        <v>532.31600000000003</v>
      </c>
      <c r="AA405" s="1">
        <f t="shared" si="387"/>
        <v>790.22900000000004</v>
      </c>
      <c r="AB405" s="2">
        <v>960.04499999999996</v>
      </c>
      <c r="AC405" s="1">
        <f t="shared" si="388"/>
        <v>1313.9589999999998</v>
      </c>
      <c r="AD405" s="2">
        <v>894.85299999999995</v>
      </c>
      <c r="AE405" s="1">
        <f t="shared" si="389"/>
        <v>1331.308</v>
      </c>
    </row>
    <row r="407" spans="2:31">
      <c r="B407" s="1" t="s">
        <v>228</v>
      </c>
      <c r="F407" s="2">
        <v>-130.52199999999999</v>
      </c>
      <c r="G407" s="2">
        <v>-27.257999999999999</v>
      </c>
      <c r="H407" s="2">
        <v>-23.861999999999998</v>
      </c>
      <c r="I407" s="2">
        <v>-40.478000000000002</v>
      </c>
      <c r="J407" s="2">
        <v>-88.861000000000004</v>
      </c>
      <c r="K407" s="2">
        <v>-137.696</v>
      </c>
      <c r="L407" s="1">
        <f t="shared" ref="L407:U407" si="390">L408*L400</f>
        <v>-312.93539029745716</v>
      </c>
      <c r="M407" s="1">
        <f t="shared" si="390"/>
        <v>-416.36763217899875</v>
      </c>
      <c r="N407" s="1">
        <f t="shared" si="390"/>
        <v>-493.19883714040361</v>
      </c>
      <c r="O407" s="1">
        <f t="shared" si="390"/>
        <v>-569.01428723730999</v>
      </c>
      <c r="P407" s="1">
        <f t="shared" si="390"/>
        <v>-653.88810966026676</v>
      </c>
      <c r="Q407" s="1">
        <f t="shared" si="390"/>
        <v>-752.70870194892939</v>
      </c>
      <c r="R407" s="1">
        <f t="shared" si="390"/>
        <v>-846.26562904950993</v>
      </c>
      <c r="S407" s="1">
        <f t="shared" si="390"/>
        <v>-935.98025725260447</v>
      </c>
      <c r="T407" s="1">
        <f t="shared" si="390"/>
        <v>-1026.5776373165579</v>
      </c>
      <c r="U407" s="1">
        <f t="shared" si="390"/>
        <v>-1126.1033539544751</v>
      </c>
      <c r="X407" s="2">
        <v>-29.045999999999999</v>
      </c>
      <c r="Y407" s="1">
        <f t="shared" ref="Y407" si="391">H407-X407</f>
        <v>5.1840000000000011</v>
      </c>
      <c r="Z407" s="2">
        <v>-49.631</v>
      </c>
      <c r="AA407" s="1">
        <f t="shared" ref="AA407" si="392">I407-Z407</f>
        <v>9.1529999999999987</v>
      </c>
      <c r="AB407" s="2">
        <v>-49.902000000000001</v>
      </c>
      <c r="AC407" s="1">
        <f t="shared" ref="AC407" si="393">J407-AB407</f>
        <v>-38.959000000000003</v>
      </c>
      <c r="AD407" s="2">
        <v>-15.462999999999999</v>
      </c>
      <c r="AE407" s="1">
        <f t="shared" si="389"/>
        <v>-122.233</v>
      </c>
    </row>
    <row r="408" spans="2:31" s="8" customFormat="1">
      <c r="C408" s="8" t="s">
        <v>229</v>
      </c>
      <c r="F408" s="8">
        <f t="shared" ref="F408:I408" si="394">F407/F400</f>
        <v>-2.2567562030018959E-2</v>
      </c>
      <c r="G408" s="8">
        <f t="shared" si="394"/>
        <v>-3.557160295628756E-3</v>
      </c>
      <c r="H408" s="8">
        <f t="shared" si="394"/>
        <v>-2.2917877413846906E-3</v>
      </c>
      <c r="I408" s="8">
        <f t="shared" si="394"/>
        <v>-2.4485078698193246E-3</v>
      </c>
      <c r="J408" s="8">
        <f>J407/J400</f>
        <v>-3.4606718503722963E-3</v>
      </c>
      <c r="K408" s="8">
        <f>K407/K400</f>
        <v>-4.9941627893379907E-3</v>
      </c>
      <c r="L408" s="9">
        <f t="shared" ref="L408:U408" si="395">K408</f>
        <v>-4.9941627893379907E-3</v>
      </c>
      <c r="M408" s="9">
        <f t="shared" si="395"/>
        <v>-4.9941627893379907E-3</v>
      </c>
      <c r="N408" s="9">
        <f t="shared" si="395"/>
        <v>-4.9941627893379907E-3</v>
      </c>
      <c r="O408" s="9">
        <f t="shared" si="395"/>
        <v>-4.9941627893379907E-3</v>
      </c>
      <c r="P408" s="9">
        <f t="shared" si="395"/>
        <v>-4.9941627893379907E-3</v>
      </c>
      <c r="Q408" s="9">
        <f t="shared" si="395"/>
        <v>-4.9941627893379907E-3</v>
      </c>
      <c r="R408" s="9">
        <f t="shared" si="395"/>
        <v>-4.9941627893379907E-3</v>
      </c>
      <c r="S408" s="9">
        <f t="shared" si="395"/>
        <v>-4.9941627893379907E-3</v>
      </c>
      <c r="T408" s="9">
        <f t="shared" si="395"/>
        <v>-4.9941627893379907E-3</v>
      </c>
      <c r="U408" s="9">
        <f t="shared" si="395"/>
        <v>-4.9941627893379907E-3</v>
      </c>
      <c r="X408" s="8">
        <f>X407/X400</f>
        <v>-6.2120781140057278E-3</v>
      </c>
      <c r="Y408" s="8">
        <f t="shared" ref="Y408:AE408" si="396">Y407/Y400</f>
        <v>9.037296105158984E-4</v>
      </c>
      <c r="Z408" s="8">
        <f t="shared" si="396"/>
        <v>-6.7972140064434588E-3</v>
      </c>
      <c r="AA408" s="8">
        <f t="shared" si="396"/>
        <v>9.9165409267767501E-4</v>
      </c>
      <c r="AB408" s="8">
        <f t="shared" si="396"/>
        <v>-4.384555245554248E-3</v>
      </c>
      <c r="AC408" s="8">
        <f t="shared" si="396"/>
        <v>-2.7251545354772329E-3</v>
      </c>
      <c r="AD408" s="8">
        <f t="shared" si="396"/>
        <v>-1.6869740684058551E-3</v>
      </c>
      <c r="AE408" s="8">
        <f t="shared" si="396"/>
        <v>-6.6411949793515682E-3</v>
      </c>
    </row>
    <row r="410" spans="2:31" s="6" customFormat="1">
      <c r="B410" s="6" t="s">
        <v>230</v>
      </c>
      <c r="F410" s="6">
        <f t="shared" ref="F410:I410" si="397">F400+F407</f>
        <v>5653.0890000000009</v>
      </c>
      <c r="G410" s="6">
        <f t="shared" si="397"/>
        <v>7635.5960000000014</v>
      </c>
      <c r="H410" s="6">
        <f t="shared" si="397"/>
        <v>10388.097</v>
      </c>
      <c r="I410" s="6">
        <f t="shared" si="397"/>
        <v>16491.223000000002</v>
      </c>
      <c r="J410" s="6">
        <f>J400+J407</f>
        <v>25588.523000000001</v>
      </c>
      <c r="K410" s="6">
        <f>K400+K407</f>
        <v>27433.691999999999</v>
      </c>
      <c r="L410" s="6">
        <f t="shared" ref="L410:U410" si="398">L400+L407</f>
        <v>62347.294862016526</v>
      </c>
      <c r="M410" s="6">
        <f t="shared" si="398"/>
        <v>82954.489454798546</v>
      </c>
      <c r="N410" s="6">
        <f t="shared" si="398"/>
        <v>98261.859406722011</v>
      </c>
      <c r="O410" s="6">
        <f t="shared" si="398"/>
        <v>113366.85669640289</v>
      </c>
      <c r="P410" s="6">
        <f t="shared" si="398"/>
        <v>130276.58757612409</v>
      </c>
      <c r="Q410" s="6">
        <f t="shared" si="398"/>
        <v>149964.98587458406</v>
      </c>
      <c r="R410" s="6">
        <f t="shared" si="398"/>
        <v>168604.68435924433</v>
      </c>
      <c r="S410" s="6">
        <f t="shared" si="398"/>
        <v>186478.867182407</v>
      </c>
      <c r="T410" s="6">
        <f t="shared" si="398"/>
        <v>204528.92397912906</v>
      </c>
      <c r="U410" s="6">
        <f t="shared" si="398"/>
        <v>224357.80685389589</v>
      </c>
      <c r="X410" s="6">
        <f t="shared" ref="X410:AA410" si="399">X400+X407</f>
        <v>4646.6839999999993</v>
      </c>
      <c r="Y410" s="6">
        <f t="shared" si="399"/>
        <v>5741.4129999999996</v>
      </c>
      <c r="Z410" s="6">
        <f t="shared" si="399"/>
        <v>7252.0370000000003</v>
      </c>
      <c r="AA410" s="6">
        <f t="shared" si="399"/>
        <v>9239.1859999999997</v>
      </c>
      <c r="AB410" s="6">
        <f>AB400+AB407</f>
        <v>11331.412</v>
      </c>
      <c r="AC410" s="6">
        <f t="shared" ref="AC410:AE410" si="400">AC400+AC407</f>
        <v>14257.110999999999</v>
      </c>
      <c r="AD410" s="6">
        <f t="shared" si="400"/>
        <v>9150.6529999999984</v>
      </c>
      <c r="AE410" s="6">
        <f t="shared" si="400"/>
        <v>18283.039000000001</v>
      </c>
    </row>
    <row r="411" spans="2:31" s="8" customFormat="1">
      <c r="C411" s="8" t="s">
        <v>30</v>
      </c>
      <c r="G411" s="8">
        <f t="shared" ref="G411:I411" si="401">G410/F410-1</f>
        <v>0.35069446102829804</v>
      </c>
      <c r="H411" s="8">
        <f t="shared" si="401"/>
        <v>0.36048279662779414</v>
      </c>
      <c r="I411" s="8">
        <f t="shared" si="401"/>
        <v>0.58751145662193971</v>
      </c>
      <c r="J411" s="8">
        <f>J410/I410-1</f>
        <v>0.55164495683552395</v>
      </c>
      <c r="K411" s="8">
        <f t="shared" ref="K411:R411" si="402">K410/J410-1</f>
        <v>7.2109242100452553E-2</v>
      </c>
      <c r="L411" s="8">
        <f t="shared" si="402"/>
        <v>1.2726541823833455</v>
      </c>
      <c r="M411" s="8">
        <f t="shared" si="402"/>
        <v>0.33052267365230015</v>
      </c>
      <c r="N411" s="8">
        <f t="shared" si="402"/>
        <v>0.18452732398846683</v>
      </c>
      <c r="O411" s="8">
        <f t="shared" si="402"/>
        <v>0.15372187521059222</v>
      </c>
      <c r="P411" s="8">
        <f t="shared" si="402"/>
        <v>0.14915938725376821</v>
      </c>
      <c r="Q411" s="8">
        <f t="shared" si="402"/>
        <v>0.15112767892354806</v>
      </c>
      <c r="R411" s="8">
        <f t="shared" si="402"/>
        <v>0.12429367012542958</v>
      </c>
      <c r="S411" s="8">
        <f>S410/R410-1</f>
        <v>0.10601237380260642</v>
      </c>
      <c r="T411" s="8">
        <f t="shared" ref="T411:U411" si="403">T410/S410-1</f>
        <v>9.6794114365067019E-2</v>
      </c>
      <c r="U411" s="8">
        <f t="shared" si="403"/>
        <v>9.6949040209052484E-2</v>
      </c>
      <c r="Z411" s="8">
        <f>Z410/X410-1</f>
        <v>0.5606908066053129</v>
      </c>
      <c r="AA411" s="8">
        <f t="shared" ref="AA411:AE411" si="404">AA410/Y410-1</f>
        <v>0.60921814891212334</v>
      </c>
      <c r="AB411" s="8">
        <f t="shared" si="404"/>
        <v>0.56251436665312093</v>
      </c>
      <c r="AC411" s="8">
        <f t="shared" si="404"/>
        <v>0.54311332188788053</v>
      </c>
      <c r="AD411" s="8">
        <f t="shared" si="404"/>
        <v>-0.19245253813028784</v>
      </c>
      <c r="AE411" s="8">
        <f t="shared" si="404"/>
        <v>0.28238035040899945</v>
      </c>
    </row>
    <row r="412" spans="2:31" s="29" customFormat="1">
      <c r="C412" s="29" t="s">
        <v>161</v>
      </c>
      <c r="F412" s="29">
        <f t="shared" ref="F412:K412" si="405">F410-F8</f>
        <v>0</v>
      </c>
      <c r="G412" s="29">
        <f t="shared" si="405"/>
        <v>0</v>
      </c>
      <c r="H412" s="29">
        <f t="shared" si="405"/>
        <v>0</v>
      </c>
      <c r="I412" s="29">
        <f t="shared" si="405"/>
        <v>0</v>
      </c>
      <c r="J412" s="29">
        <f t="shared" si="405"/>
        <v>0</v>
      </c>
      <c r="K412" s="29">
        <f t="shared" si="405"/>
        <v>0</v>
      </c>
      <c r="X412" s="29">
        <f t="shared" ref="X412:AE412" si="406">X410-X8</f>
        <v>0</v>
      </c>
      <c r="Y412" s="29">
        <f t="shared" si="406"/>
        <v>0</v>
      </c>
      <c r="Z412" s="51">
        <f t="shared" si="406"/>
        <v>100</v>
      </c>
      <c r="AA412" s="51">
        <f t="shared" si="406"/>
        <v>-100.00000000000182</v>
      </c>
      <c r="AB412" s="29">
        <f t="shared" si="406"/>
        <v>0</v>
      </c>
      <c r="AC412" s="29">
        <f t="shared" si="406"/>
        <v>0</v>
      </c>
      <c r="AD412" s="29">
        <f t="shared" si="406"/>
        <v>0</v>
      </c>
      <c r="AE412" s="29">
        <f t="shared" si="406"/>
        <v>0</v>
      </c>
    </row>
    <row r="415" spans="2:31" s="6" customFormat="1">
      <c r="B415" s="6" t="s">
        <v>231</v>
      </c>
      <c r="F415" s="6">
        <f>F416+F417+F418+F419</f>
        <v>1190.105</v>
      </c>
      <c r="G415" s="6">
        <f t="shared" ref="G415:H415" si="407">G416+G417+G418+G419</f>
        <v>1982.2250000000001</v>
      </c>
      <c r="H415" s="6">
        <f t="shared" si="407"/>
        <v>2338.2739999999999</v>
      </c>
      <c r="I415" s="6">
        <f>I400*I421-I407</f>
        <v>3545.1986120000001</v>
      </c>
      <c r="J415" s="6">
        <f>J400*J421-J407</f>
        <v>5532.4664080000002</v>
      </c>
      <c r="X415" s="6">
        <f>X416+X417+X418+X419</f>
        <v>1081.463</v>
      </c>
      <c r="Y415" s="6">
        <f t="shared" ref="Y415:Z415" si="408">Y416+Y417+Y418+Y419</f>
        <v>1256.8109999999999</v>
      </c>
      <c r="Z415" s="6">
        <f t="shared" si="408"/>
        <v>1472.81</v>
      </c>
    </row>
    <row r="416" spans="2:31">
      <c r="C416" s="1" t="s">
        <v>208</v>
      </c>
      <c r="F416" s="2">
        <v>524.94299999999998</v>
      </c>
      <c r="G416" s="2">
        <v>758.22299999999996</v>
      </c>
      <c r="H416" s="2">
        <v>653.58500000000004</v>
      </c>
      <c r="I416" s="2"/>
      <c r="J416" s="2"/>
      <c r="X416" s="2">
        <v>342.80399999999997</v>
      </c>
      <c r="Y416" s="1">
        <f t="shared" ref="Y416:Y419" si="409">H416-X416</f>
        <v>310.78100000000006</v>
      </c>
      <c r="Z416" s="2">
        <v>367.30500000000001</v>
      </c>
    </row>
    <row r="417" spans="2:31">
      <c r="C417" s="1" t="s">
        <v>209</v>
      </c>
      <c r="F417" s="2">
        <v>568.99900000000002</v>
      </c>
      <c r="G417" s="2">
        <v>969.43100000000004</v>
      </c>
      <c r="H417" s="2">
        <v>1248.1289999999999</v>
      </c>
      <c r="I417" s="2"/>
      <c r="J417" s="2"/>
      <c r="X417" s="2">
        <v>562.05399999999997</v>
      </c>
      <c r="Y417" s="1">
        <f t="shared" si="409"/>
        <v>686.07499999999993</v>
      </c>
      <c r="Z417" s="2">
        <v>774.75300000000004</v>
      </c>
    </row>
    <row r="418" spans="2:31">
      <c r="C418" s="1" t="s">
        <v>212</v>
      </c>
      <c r="F418" s="2">
        <v>44.22</v>
      </c>
      <c r="G418" s="2">
        <v>154.517</v>
      </c>
      <c r="H418" s="2">
        <v>308.52699999999999</v>
      </c>
      <c r="I418" s="2"/>
      <c r="J418" s="2"/>
      <c r="X418" s="2">
        <v>130.256</v>
      </c>
      <c r="Y418" s="1">
        <f t="shared" si="409"/>
        <v>178.27099999999999</v>
      </c>
      <c r="Z418" s="2">
        <v>276.32</v>
      </c>
    </row>
    <row r="419" spans="2:31">
      <c r="C419" s="1" t="s">
        <v>213</v>
      </c>
      <c r="F419" s="2">
        <v>51.942999999999998</v>
      </c>
      <c r="G419" s="2">
        <v>100.054</v>
      </c>
      <c r="H419" s="2">
        <v>128.03299999999999</v>
      </c>
      <c r="I419" s="2"/>
      <c r="J419" s="2"/>
      <c r="X419" s="2">
        <v>46.348999999999997</v>
      </c>
      <c r="Y419" s="1">
        <f t="shared" si="409"/>
        <v>81.683999999999997</v>
      </c>
      <c r="Z419" s="2">
        <v>54.432000000000002</v>
      </c>
    </row>
    <row r="421" spans="2:31" s="52" customFormat="1" ht="19">
      <c r="C421" s="53" t="s">
        <v>232</v>
      </c>
      <c r="F421" s="54">
        <f>(F415+F407)/F400</f>
        <v>0.18320440292405557</v>
      </c>
      <c r="G421" s="54">
        <f t="shared" ref="G421:H421" si="410">(G415+G407)/G400</f>
        <v>0.25512256921507309</v>
      </c>
      <c r="H421" s="54">
        <f t="shared" si="410"/>
        <v>0.22228401014640953</v>
      </c>
      <c r="I421" s="55">
        <v>0.21199999999999999</v>
      </c>
      <c r="J421" s="55">
        <v>0.21199999999999999</v>
      </c>
      <c r="X421" s="54">
        <f>X415/X400</f>
        <v>0.23129286763778065</v>
      </c>
      <c r="Y421" s="54">
        <f>Y415/Y400</f>
        <v>0.21910056240781184</v>
      </c>
      <c r="Z421" s="54">
        <f>Z415/Z400</f>
        <v>0.20170870546291611</v>
      </c>
    </row>
    <row r="422" spans="2:31" s="10" customFormat="1">
      <c r="C422" s="10" t="s">
        <v>208</v>
      </c>
      <c r="F422" s="12">
        <f t="shared" ref="F422:H425" si="411">F416/F402</f>
        <v>0.22658135348068906</v>
      </c>
      <c r="G422" s="12">
        <f t="shared" si="411"/>
        <v>0.27940015174557148</v>
      </c>
      <c r="H422" s="12">
        <f t="shared" si="411"/>
        <v>0.22086371996973531</v>
      </c>
      <c r="I422" s="12"/>
      <c r="J422" s="12"/>
      <c r="X422" s="12">
        <f t="shared" ref="X422:Z425" si="412">X416/X402</f>
        <v>0.2402134146555101</v>
      </c>
      <c r="Y422" s="12">
        <f t="shared" si="412"/>
        <v>0.2028408593981498</v>
      </c>
      <c r="Z422" s="12">
        <f t="shared" si="412"/>
        <v>0.20403203587093219</v>
      </c>
    </row>
    <row r="423" spans="2:31" s="10" customFormat="1">
      <c r="C423" s="10" t="s">
        <v>209</v>
      </c>
      <c r="F423" s="12">
        <f t="shared" si="411"/>
        <v>0.19759908013820152</v>
      </c>
      <c r="G423" s="12">
        <f t="shared" si="411"/>
        <v>0.25671043014966793</v>
      </c>
      <c r="H423" s="12">
        <f t="shared" si="411"/>
        <v>0.23860323713659062</v>
      </c>
      <c r="I423" s="12"/>
      <c r="J423" s="12"/>
      <c r="X423" s="12">
        <f t="shared" si="412"/>
        <v>0.24023549364933089</v>
      </c>
      <c r="Y423" s="12">
        <f t="shared" si="412"/>
        <v>0.23728247881205719</v>
      </c>
      <c r="Z423" s="12">
        <f t="shared" si="412"/>
        <v>0.21715822203112436</v>
      </c>
    </row>
    <row r="424" spans="2:31" s="10" customFormat="1">
      <c r="C424" s="10" t="s">
        <v>212</v>
      </c>
      <c r="F424" s="12">
        <f t="shared" si="411"/>
        <v>0.14256330236186962</v>
      </c>
      <c r="G424" s="12">
        <f t="shared" si="411"/>
        <v>0.21062955632255356</v>
      </c>
      <c r="H424" s="12">
        <f t="shared" si="411"/>
        <v>0.20319565535237036</v>
      </c>
      <c r="I424" s="12"/>
      <c r="J424" s="12"/>
      <c r="X424" s="12">
        <f t="shared" si="412"/>
        <v>0.20467984204629558</v>
      </c>
      <c r="Y424" s="12">
        <f t="shared" si="412"/>
        <v>0.20212475268853777</v>
      </c>
      <c r="Z424" s="12">
        <f t="shared" si="412"/>
        <v>0.19716989277388611</v>
      </c>
    </row>
    <row r="425" spans="2:31" s="10" customFormat="1">
      <c r="C425" s="10" t="s">
        <v>213</v>
      </c>
      <c r="F425" s="12">
        <f t="shared" si="411"/>
        <v>0.18747045002580548</v>
      </c>
      <c r="G425" s="12">
        <f t="shared" si="411"/>
        <v>0.22783818556513227</v>
      </c>
      <c r="H425" s="12">
        <f t="shared" si="411"/>
        <v>0.18202510445974512</v>
      </c>
      <c r="I425" s="12"/>
      <c r="J425" s="12"/>
      <c r="X425" s="12">
        <f t="shared" si="412"/>
        <v>0.16998577003198076</v>
      </c>
      <c r="Y425" s="12">
        <f t="shared" si="412"/>
        <v>0.18964656607470798</v>
      </c>
      <c r="Z425" s="12">
        <f t="shared" si="412"/>
        <v>0.10225505151075677</v>
      </c>
    </row>
    <row r="429" spans="2:31" s="24" customFormat="1">
      <c r="B429" s="37" t="s">
        <v>233</v>
      </c>
      <c r="C429" s="37"/>
      <c r="D429" s="56" t="s">
        <v>234</v>
      </c>
      <c r="E429" s="37"/>
    </row>
    <row r="430" spans="2:31" s="6" customFormat="1">
      <c r="B430" s="6" t="s">
        <v>235</v>
      </c>
      <c r="G430" s="6">
        <f t="shared" ref="G430:I430" si="413">G431+G432+G433+G434</f>
        <v>102</v>
      </c>
      <c r="H430" s="6">
        <f t="shared" si="413"/>
        <v>125</v>
      </c>
      <c r="I430" s="6">
        <f t="shared" si="413"/>
        <v>145</v>
      </c>
      <c r="J430" s="6">
        <f>J431+J432+J433+J434</f>
        <v>233</v>
      </c>
      <c r="K430" s="6">
        <f>K431+K432+K433+K434</f>
        <v>399</v>
      </c>
      <c r="Z430" s="6">
        <f>Z431+Z432+Z433+Z434</f>
        <v>156</v>
      </c>
      <c r="AB430" s="6">
        <f>AB431+AB432+AB433+AB434</f>
        <v>245</v>
      </c>
      <c r="AD430" s="6">
        <f>AD431+AD432+AD433+AD434</f>
        <v>370</v>
      </c>
    </row>
    <row r="431" spans="2:31">
      <c r="C431" s="1" t="s">
        <v>208</v>
      </c>
      <c r="F431" s="2"/>
      <c r="G431" s="2">
        <v>42</v>
      </c>
      <c r="H431" s="2">
        <v>39</v>
      </c>
      <c r="I431" s="2">
        <v>39</v>
      </c>
      <c r="J431" s="2">
        <v>49</v>
      </c>
      <c r="K431" s="2">
        <v>90</v>
      </c>
      <c r="Z431" s="2">
        <v>45</v>
      </c>
      <c r="AB431" s="2">
        <v>53</v>
      </c>
      <c r="AC431" s="2"/>
      <c r="AD431" s="2">
        <v>65</v>
      </c>
      <c r="AE431" s="2"/>
    </row>
    <row r="432" spans="2:31">
      <c r="C432" s="1" t="s">
        <v>209</v>
      </c>
      <c r="F432" s="2"/>
      <c r="G432" s="2">
        <v>49</v>
      </c>
      <c r="H432" s="2">
        <v>62</v>
      </c>
      <c r="I432" s="2">
        <v>71</v>
      </c>
      <c r="J432" s="2">
        <v>110</v>
      </c>
      <c r="K432" s="2">
        <v>161</v>
      </c>
      <c r="Z432" s="2">
        <v>76</v>
      </c>
      <c r="AB432" s="2">
        <v>117</v>
      </c>
      <c r="AC432" s="2"/>
      <c r="AD432" s="2">
        <v>160</v>
      </c>
      <c r="AE432" s="2"/>
    </row>
    <row r="433" spans="2:31">
      <c r="C433" s="1" t="s">
        <v>212</v>
      </c>
      <c r="F433" s="2"/>
      <c r="G433" s="2">
        <v>7</v>
      </c>
      <c r="H433" s="2">
        <v>17</v>
      </c>
      <c r="I433" s="2">
        <v>26</v>
      </c>
      <c r="J433" s="2">
        <v>57</v>
      </c>
      <c r="K433" s="2">
        <v>113</v>
      </c>
      <c r="Z433" s="2">
        <v>27</v>
      </c>
      <c r="AB433" s="2">
        <v>58</v>
      </c>
      <c r="AC433" s="2"/>
      <c r="AD433" s="2">
        <v>110</v>
      </c>
      <c r="AE433" s="2"/>
    </row>
    <row r="434" spans="2:31">
      <c r="C434" s="1" t="s">
        <v>213</v>
      </c>
      <c r="F434" s="2"/>
      <c r="G434" s="2">
        <v>4</v>
      </c>
      <c r="H434" s="2">
        <v>7</v>
      </c>
      <c r="I434" s="2">
        <v>9</v>
      </c>
      <c r="J434" s="2">
        <v>17</v>
      </c>
      <c r="K434" s="2">
        <v>35</v>
      </c>
      <c r="Z434" s="2">
        <v>8</v>
      </c>
      <c r="AB434" s="2">
        <v>17</v>
      </c>
      <c r="AC434" s="2"/>
      <c r="AD434" s="2">
        <v>35</v>
      </c>
      <c r="AE434" s="2"/>
    </row>
    <row r="436" spans="2:31" ht="19">
      <c r="C436" s="43" t="s">
        <v>236</v>
      </c>
      <c r="G436" s="44">
        <f t="shared" ref="G436:K440" si="414">G430/G288</f>
        <v>0.57954545454545459</v>
      </c>
      <c r="H436" s="44">
        <f t="shared" si="414"/>
        <v>0.45787545787545786</v>
      </c>
      <c r="I436" s="44">
        <f t="shared" si="414"/>
        <v>0.31115879828326182</v>
      </c>
      <c r="J436" s="44">
        <f t="shared" si="414"/>
        <v>0.30338541666666669</v>
      </c>
      <c r="K436" s="44">
        <f t="shared" si="414"/>
        <v>0.30739599383667182</v>
      </c>
      <c r="Z436" s="44"/>
      <c r="AB436" s="44"/>
      <c r="AD436" s="44"/>
    </row>
    <row r="437" spans="2:31">
      <c r="C437" s="1" t="s">
        <v>208</v>
      </c>
      <c r="G437" s="44">
        <f t="shared" si="414"/>
        <v>0.76363636363636367</v>
      </c>
      <c r="H437" s="44">
        <f t="shared" si="414"/>
        <v>0.6</v>
      </c>
      <c r="I437" s="44">
        <f t="shared" si="414"/>
        <v>0.36792452830188677</v>
      </c>
      <c r="J437" s="44">
        <f t="shared" si="414"/>
        <v>0.25789473684210529</v>
      </c>
      <c r="K437" s="44">
        <f t="shared" si="414"/>
        <v>0.35294117647058826</v>
      </c>
      <c r="Z437" s="44"/>
      <c r="AB437" s="44"/>
      <c r="AD437" s="44"/>
    </row>
    <row r="438" spans="2:31">
      <c r="C438" s="1" t="s">
        <v>209</v>
      </c>
      <c r="G438" s="44">
        <f t="shared" si="414"/>
        <v>0.59036144578313254</v>
      </c>
      <c r="H438" s="44">
        <f t="shared" si="414"/>
        <v>0.51666666666666672</v>
      </c>
      <c r="I438" s="44">
        <f t="shared" si="414"/>
        <v>0.34299516908212563</v>
      </c>
      <c r="J438" s="44">
        <f t="shared" si="414"/>
        <v>0.33132530120481929</v>
      </c>
      <c r="K438" s="44">
        <f t="shared" si="414"/>
        <v>0.32264529058116231</v>
      </c>
      <c r="Z438" s="44"/>
      <c r="AB438" s="44"/>
      <c r="AD438" s="44"/>
    </row>
    <row r="439" spans="2:31">
      <c r="C439" s="1" t="s">
        <v>212</v>
      </c>
      <c r="G439" s="44">
        <f t="shared" si="414"/>
        <v>0.2413793103448276</v>
      </c>
      <c r="H439" s="44">
        <f t="shared" si="414"/>
        <v>0.24637681159420291</v>
      </c>
      <c r="I439" s="44">
        <f t="shared" si="414"/>
        <v>0.22222222222222221</v>
      </c>
      <c r="J439" s="44">
        <f t="shared" si="414"/>
        <v>0.29381443298969073</v>
      </c>
      <c r="K439" s="44">
        <f t="shared" si="414"/>
        <v>0.25055432372505543</v>
      </c>
      <c r="Z439" s="44"/>
      <c r="AB439" s="44"/>
      <c r="AD439" s="44"/>
    </row>
    <row r="440" spans="2:31">
      <c r="C440" s="1" t="s">
        <v>213</v>
      </c>
      <c r="G440" s="44">
        <f t="shared" si="414"/>
        <v>0.44444444444444442</v>
      </c>
      <c r="H440" s="44">
        <f t="shared" si="414"/>
        <v>0.36842105263157893</v>
      </c>
      <c r="I440" s="44">
        <f t="shared" si="414"/>
        <v>0.25</v>
      </c>
      <c r="J440" s="44">
        <f t="shared" si="414"/>
        <v>0.32692307692307693</v>
      </c>
      <c r="K440" s="44">
        <f t="shared" si="414"/>
        <v>0.37634408602150538</v>
      </c>
      <c r="Z440" s="44"/>
      <c r="AB440" s="44"/>
      <c r="AD440" s="44"/>
    </row>
    <row r="442" spans="2:31" s="6" customFormat="1" ht="19">
      <c r="B442" s="57" t="s">
        <v>237</v>
      </c>
    </row>
    <row r="443" spans="2:31">
      <c r="B443" s="1" t="s">
        <v>238</v>
      </c>
      <c r="G443" s="1">
        <f t="shared" ref="G443:I443" si="415">G444+G445+G446+G447</f>
        <v>5470.54</v>
      </c>
      <c r="H443" s="1">
        <f t="shared" si="415"/>
        <v>6846.6819999999998</v>
      </c>
      <c r="I443" s="1">
        <f t="shared" si="415"/>
        <v>8106.5259999999998</v>
      </c>
      <c r="J443" s="1">
        <f>J444+J445+J446+J447</f>
        <v>12065.689999999999</v>
      </c>
      <c r="K443" s="1">
        <f>K444+K445+K446+K447</f>
        <v>12137.932499999999</v>
      </c>
      <c r="Z443" s="1">
        <f>Z444+Z445+Z446+Z447</f>
        <v>4194.4769999999999</v>
      </c>
      <c r="AB443" s="1">
        <f>AB444+AB445+AB446+AB447</f>
        <v>6328.0459999999994</v>
      </c>
    </row>
    <row r="444" spans="2:31">
      <c r="C444" s="1" t="s">
        <v>208</v>
      </c>
      <c r="F444" s="2"/>
      <c r="G444" s="2">
        <v>2269.9699999999998</v>
      </c>
      <c r="H444" s="2">
        <v>2177.0100000000002</v>
      </c>
      <c r="I444" s="2">
        <v>2353.5810000000001</v>
      </c>
      <c r="J444" s="2">
        <v>2783.5450000000001</v>
      </c>
      <c r="K444" s="1">
        <f>K450*K456/1000</f>
        <v>2670.8850000000002</v>
      </c>
      <c r="Z444" s="2">
        <v>1303.6089999999999</v>
      </c>
      <c r="AB444" s="2">
        <v>1532.672</v>
      </c>
    </row>
    <row r="445" spans="2:31">
      <c r="C445" s="1" t="s">
        <v>209</v>
      </c>
      <c r="F445" s="2"/>
      <c r="G445" s="2">
        <v>2679.1109999999999</v>
      </c>
      <c r="H445" s="2">
        <v>3525.6729999999998</v>
      </c>
      <c r="I445" s="2">
        <v>4124.4459999999999</v>
      </c>
      <c r="J445" s="2">
        <v>5778.9170000000004</v>
      </c>
      <c r="K445" s="1">
        <f t="shared" ref="K445:K447" si="416">K451*K457/1000</f>
        <v>5281.6544999999996</v>
      </c>
      <c r="Z445" s="2">
        <v>2128.6109999999999</v>
      </c>
      <c r="AB445" s="2">
        <v>3085.558</v>
      </c>
    </row>
    <row r="446" spans="2:31">
      <c r="C446" s="1" t="s">
        <v>212</v>
      </c>
      <c r="F446" s="2"/>
      <c r="G446" s="2">
        <v>262.37599999999998</v>
      </c>
      <c r="H446" s="2">
        <v>680.14800000000002</v>
      </c>
      <c r="I446" s="2">
        <v>1113.1279999999999</v>
      </c>
      <c r="J446" s="2">
        <v>2463.8890000000001</v>
      </c>
      <c r="K446" s="1">
        <f t="shared" si="416"/>
        <v>3157.665</v>
      </c>
      <c r="Z446" s="2">
        <v>539.91999999999996</v>
      </c>
      <c r="AB446" s="2">
        <v>1233.4369999999999</v>
      </c>
    </row>
    <row r="447" spans="2:31">
      <c r="C447" s="1" t="s">
        <v>213</v>
      </c>
      <c r="F447" s="2"/>
      <c r="G447" s="2">
        <v>259.08300000000003</v>
      </c>
      <c r="H447" s="2">
        <v>463.851</v>
      </c>
      <c r="I447" s="2">
        <v>515.37099999999998</v>
      </c>
      <c r="J447" s="2">
        <v>1039.3389999999999</v>
      </c>
      <c r="K447" s="1">
        <f t="shared" si="416"/>
        <v>1027.7280000000001</v>
      </c>
      <c r="Z447" s="2">
        <v>222.33699999999999</v>
      </c>
      <c r="AB447" s="2">
        <v>476.37900000000002</v>
      </c>
    </row>
    <row r="449" spans="2:30">
      <c r="B449" s="1" t="s">
        <v>239</v>
      </c>
      <c r="G449" s="1">
        <f t="shared" ref="G449:I449" si="417">G443/G455*1000</f>
        <v>147.26707330130336</v>
      </c>
      <c r="H449" s="1">
        <f t="shared" si="417"/>
        <v>150.77410001267768</v>
      </c>
      <c r="I449" s="1">
        <f t="shared" si="417"/>
        <v>154.03611762784024</v>
      </c>
      <c r="J449" s="1">
        <f>J443/J455*1000</f>
        <v>142.6237424871376</v>
      </c>
      <c r="K449" s="1">
        <f>K443/K455*1000</f>
        <v>104.94857594936707</v>
      </c>
    </row>
    <row r="450" spans="2:30">
      <c r="C450" s="1" t="s">
        <v>208</v>
      </c>
      <c r="F450" s="2"/>
      <c r="G450" s="2">
        <v>148.19999999999999</v>
      </c>
      <c r="H450" s="2">
        <v>154.4</v>
      </c>
      <c r="I450" s="2">
        <v>165.8</v>
      </c>
      <c r="J450" s="2">
        <v>156.1</v>
      </c>
      <c r="K450" s="2">
        <v>105</v>
      </c>
      <c r="Z450" s="2">
        <v>160.9</v>
      </c>
      <c r="AB450" s="2">
        <v>161.5</v>
      </c>
      <c r="AD450" s="2">
        <v>97.3</v>
      </c>
    </row>
    <row r="451" spans="2:30">
      <c r="C451" s="1" t="s">
        <v>209</v>
      </c>
      <c r="F451" s="2"/>
      <c r="G451" s="2">
        <v>150.4</v>
      </c>
      <c r="H451" s="2">
        <v>156.19999999999999</v>
      </c>
      <c r="I451" s="2">
        <v>160</v>
      </c>
      <c r="J451" s="2">
        <v>144.9</v>
      </c>
      <c r="K451" s="2">
        <v>106.5</v>
      </c>
      <c r="Z451" s="2">
        <v>155.4</v>
      </c>
      <c r="AB451" s="2">
        <v>146.69999999999999</v>
      </c>
      <c r="AD451" s="2">
        <v>100.1</v>
      </c>
    </row>
    <row r="452" spans="2:30">
      <c r="C452" s="1" t="s">
        <v>212</v>
      </c>
      <c r="F452" s="2"/>
      <c r="G452" s="2">
        <v>102.6</v>
      </c>
      <c r="H452" s="2">
        <v>109.8</v>
      </c>
      <c r="I452" s="2">
        <v>117.8</v>
      </c>
      <c r="J452" s="2">
        <v>119</v>
      </c>
      <c r="K452" s="2">
        <v>101.5</v>
      </c>
      <c r="Z452" s="2">
        <v>111.3</v>
      </c>
      <c r="AB452" s="2">
        <v>117.9</v>
      </c>
      <c r="AD452" s="2">
        <v>96.1</v>
      </c>
    </row>
    <row r="453" spans="2:30">
      <c r="C453" s="1" t="s">
        <v>213</v>
      </c>
      <c r="F453" s="2"/>
      <c r="G453" s="2">
        <v>177.5</v>
      </c>
      <c r="H453" s="2">
        <v>182.3</v>
      </c>
      <c r="I453" s="2">
        <v>160.80000000000001</v>
      </c>
      <c r="J453" s="2">
        <v>168.2</v>
      </c>
      <c r="K453" s="2">
        <v>108</v>
      </c>
      <c r="Z453" s="2">
        <v>155.4</v>
      </c>
      <c r="AB453" s="2">
        <v>156</v>
      </c>
      <c r="AD453" s="2">
        <v>96.8</v>
      </c>
    </row>
    <row r="455" spans="2:30">
      <c r="B455" s="1" t="s">
        <v>240</v>
      </c>
      <c r="G455" s="1">
        <f t="shared" ref="G455:I455" si="418">G456+G457+G458+G459</f>
        <v>37147.068094491588</v>
      </c>
      <c r="H455" s="1">
        <f t="shared" si="418"/>
        <v>45410.19975860777</v>
      </c>
      <c r="I455" s="1">
        <f t="shared" si="418"/>
        <v>52627.436505416299</v>
      </c>
      <c r="J455" s="1">
        <f>J456+J457+J458+J459</f>
        <v>84598.046507495994</v>
      </c>
      <c r="K455" s="1">
        <f>K456+K457+K458+K459</f>
        <v>115656</v>
      </c>
    </row>
    <row r="456" spans="2:30">
      <c r="C456" s="1" t="s">
        <v>208</v>
      </c>
      <c r="G456" s="1">
        <f t="shared" ref="G456:J459" si="419">G444*1000/G450</f>
        <v>15316.936572199731</v>
      </c>
      <c r="H456" s="1">
        <f t="shared" si="419"/>
        <v>14099.805699481865</v>
      </c>
      <c r="I456" s="1">
        <f t="shared" si="419"/>
        <v>14195.301568154402</v>
      </c>
      <c r="J456" s="1">
        <f>J444*1000/J450</f>
        <v>17831.806534272902</v>
      </c>
      <c r="K456" s="3">
        <f>AVERAGE(J431:K431)*K$2</f>
        <v>25437</v>
      </c>
    </row>
    <row r="457" spans="2:30">
      <c r="C457" s="1" t="s">
        <v>209</v>
      </c>
      <c r="G457" s="1">
        <f t="shared" si="419"/>
        <v>17813.238031914894</v>
      </c>
      <c r="H457" s="1">
        <f t="shared" si="419"/>
        <v>22571.530089628683</v>
      </c>
      <c r="I457" s="1">
        <f t="shared" si="419"/>
        <v>25777.787499999999</v>
      </c>
      <c r="J457" s="1">
        <f t="shared" si="419"/>
        <v>39882.104899930986</v>
      </c>
      <c r="K457" s="3">
        <f t="shared" ref="K457:K459" si="420">AVERAGE(J432:K432)*K$2</f>
        <v>49593</v>
      </c>
    </row>
    <row r="458" spans="2:30">
      <c r="C458" s="1" t="s">
        <v>212</v>
      </c>
      <c r="G458" s="1">
        <f t="shared" si="419"/>
        <v>2557.2709551656922</v>
      </c>
      <c r="H458" s="1">
        <f t="shared" si="419"/>
        <v>6194.4262295081971</v>
      </c>
      <c r="I458" s="1">
        <f t="shared" si="419"/>
        <v>9449.3039049235995</v>
      </c>
      <c r="J458" s="1">
        <f t="shared" si="419"/>
        <v>20704.949579831933</v>
      </c>
      <c r="K458" s="3">
        <f t="shared" si="420"/>
        <v>31110</v>
      </c>
    </row>
    <row r="459" spans="2:30">
      <c r="C459" s="1" t="s">
        <v>213</v>
      </c>
      <c r="G459" s="1">
        <f t="shared" si="419"/>
        <v>1459.6225352112679</v>
      </c>
      <c r="H459" s="1">
        <f t="shared" si="419"/>
        <v>2544.4377399890291</v>
      </c>
      <c r="I459" s="1">
        <f t="shared" si="419"/>
        <v>3205.0435323383081</v>
      </c>
      <c r="J459" s="1">
        <f t="shared" si="419"/>
        <v>6179.185493460167</v>
      </c>
      <c r="K459" s="3">
        <f t="shared" si="420"/>
        <v>9516</v>
      </c>
    </row>
    <row r="461" spans="2:30">
      <c r="B461" s="1" t="s">
        <v>241</v>
      </c>
    </row>
    <row r="462" spans="2:30" s="47" customFormat="1">
      <c r="C462" s="47" t="s">
        <v>208</v>
      </c>
      <c r="F462" s="48"/>
      <c r="G462" s="48">
        <v>4.3</v>
      </c>
      <c r="H462" s="48">
        <v>4.8</v>
      </c>
      <c r="I462" s="48"/>
      <c r="J462" s="48">
        <v>5.0999999999999996</v>
      </c>
      <c r="K462" s="48">
        <v>3.7</v>
      </c>
      <c r="Z462" s="48">
        <v>5.0999999999999996</v>
      </c>
      <c r="AB462" s="48">
        <v>5.0999999999999996</v>
      </c>
      <c r="AD462" s="48">
        <v>3.4</v>
      </c>
    </row>
    <row r="463" spans="2:30" s="47" customFormat="1">
      <c r="C463" s="47" t="s">
        <v>209</v>
      </c>
      <c r="F463" s="48"/>
      <c r="G463" s="48">
        <v>4.8</v>
      </c>
      <c r="H463" s="48">
        <v>5.3</v>
      </c>
      <c r="I463" s="48"/>
      <c r="J463" s="48">
        <v>5.3</v>
      </c>
      <c r="K463" s="48">
        <v>4.0999999999999996</v>
      </c>
      <c r="Z463" s="48">
        <v>5.3</v>
      </c>
      <c r="AB463" s="48">
        <v>5.3</v>
      </c>
      <c r="AD463" s="48">
        <v>3.8</v>
      </c>
    </row>
    <row r="464" spans="2:30" s="47" customFormat="1">
      <c r="C464" s="47" t="s">
        <v>212</v>
      </c>
      <c r="F464" s="48"/>
      <c r="G464" s="48">
        <v>3.8</v>
      </c>
      <c r="H464" s="48">
        <v>4.7</v>
      </c>
      <c r="I464" s="48"/>
      <c r="J464" s="48">
        <v>5.2</v>
      </c>
      <c r="K464" s="48">
        <v>4.3</v>
      </c>
      <c r="Z464" s="48">
        <v>5</v>
      </c>
      <c r="AB464" s="48">
        <v>5.0999999999999996</v>
      </c>
      <c r="AD464" s="48">
        <v>4.0999999999999996</v>
      </c>
    </row>
    <row r="465" spans="2:30" s="47" customFormat="1">
      <c r="C465" s="47" t="s">
        <v>213</v>
      </c>
      <c r="F465" s="48"/>
      <c r="G465" s="48">
        <v>5.2</v>
      </c>
      <c r="H465" s="48">
        <v>5.0999999999999996</v>
      </c>
      <c r="I465" s="48"/>
      <c r="J465" s="48">
        <v>4.4000000000000004</v>
      </c>
      <c r="K465" s="48">
        <v>3</v>
      </c>
      <c r="Z465" s="48">
        <v>4.5</v>
      </c>
      <c r="AB465" s="48">
        <v>4.3</v>
      </c>
      <c r="AD465" s="48">
        <v>2.7</v>
      </c>
    </row>
    <row r="467" spans="2:30" s="6" customFormat="1" ht="19">
      <c r="B467" s="57" t="s">
        <v>242</v>
      </c>
    </row>
    <row r="468" spans="2:30">
      <c r="B468" s="1" t="s">
        <v>238</v>
      </c>
      <c r="G468" s="1">
        <f t="shared" ref="G468:I468" si="421">G469+G470+G471+G472</f>
        <v>4795.6349999999993</v>
      </c>
      <c r="H468" s="1">
        <f t="shared" si="421"/>
        <v>6006.8130000000001</v>
      </c>
      <c r="I468" s="1">
        <f t="shared" si="421"/>
        <v>7630.0280000000002</v>
      </c>
      <c r="J468" s="1">
        <f>J469+J470+J471+J472</f>
        <v>11879.693000000001</v>
      </c>
      <c r="K468" s="1">
        <f>K469+K470+K471+K472</f>
        <v>14751.135899999999</v>
      </c>
      <c r="Z468" s="1">
        <f>Z469+Z470+Z471+Z472</f>
        <v>3941.2730000000001</v>
      </c>
      <c r="AB468" s="1">
        <f>AB469+AB470+AB471+AB472</f>
        <v>6042.701</v>
      </c>
    </row>
    <row r="469" spans="2:30">
      <c r="C469" s="1" t="s">
        <v>208</v>
      </c>
      <c r="F469" s="2"/>
      <c r="G469" s="2">
        <v>2046.712</v>
      </c>
      <c r="H469" s="2">
        <v>1931.9590000000001</v>
      </c>
      <c r="I469" s="2">
        <v>2106.973</v>
      </c>
      <c r="J469" s="2">
        <v>2787.9140000000002</v>
      </c>
      <c r="K469" s="1">
        <f>K475*K481/1000</f>
        <v>3482.3253000000004</v>
      </c>
      <c r="Z469" s="2">
        <v>1161.4570000000001</v>
      </c>
      <c r="AB469" s="2">
        <v>1483.3889999999999</v>
      </c>
    </row>
    <row r="470" spans="2:30">
      <c r="C470" s="1" t="s">
        <v>209</v>
      </c>
      <c r="F470" s="2"/>
      <c r="G470" s="2">
        <v>2298.491</v>
      </c>
      <c r="H470" s="2">
        <v>3078.9749999999999</v>
      </c>
      <c r="I470" s="2">
        <v>3953.683</v>
      </c>
      <c r="J470" s="2">
        <v>5889.1880000000001</v>
      </c>
      <c r="K470" s="1">
        <f t="shared" ref="K470:K472" si="422">K476*K482/1000</f>
        <v>6357.8225999999995</v>
      </c>
      <c r="Z470" s="2">
        <v>2043.2940000000001</v>
      </c>
      <c r="AB470" s="2">
        <v>3028.29</v>
      </c>
    </row>
    <row r="471" spans="2:30">
      <c r="C471" s="1" t="s">
        <v>212</v>
      </c>
      <c r="F471" s="2"/>
      <c r="G471" s="2">
        <v>233.768</v>
      </c>
      <c r="H471" s="2">
        <v>584.77800000000002</v>
      </c>
      <c r="I471" s="2">
        <v>1006.057</v>
      </c>
      <c r="J471" s="2">
        <v>2274.1909999999998</v>
      </c>
      <c r="K471" s="1">
        <f t="shared" si="422"/>
        <v>3521.652</v>
      </c>
      <c r="Z471" s="2">
        <v>507.721</v>
      </c>
      <c r="AB471" s="2">
        <v>1096.682</v>
      </c>
    </row>
    <row r="472" spans="2:30">
      <c r="C472" s="1" t="s">
        <v>213</v>
      </c>
      <c r="F472" s="2"/>
      <c r="G472" s="2">
        <v>216.66399999999999</v>
      </c>
      <c r="H472" s="2">
        <v>411.101</v>
      </c>
      <c r="I472" s="2">
        <v>563.31500000000005</v>
      </c>
      <c r="J472" s="2">
        <v>928.4</v>
      </c>
      <c r="K472" s="1">
        <f t="shared" si="422"/>
        <v>1389.336</v>
      </c>
      <c r="Z472" s="2">
        <v>228.80099999999999</v>
      </c>
      <c r="AB472" s="2">
        <v>434.34</v>
      </c>
    </row>
    <row r="474" spans="2:30">
      <c r="B474" s="1" t="s">
        <v>243</v>
      </c>
      <c r="G474" s="1">
        <f t="shared" ref="G474:I474" si="423">G468/G480*1000</f>
        <v>129.50203783506231</v>
      </c>
      <c r="H474" s="1">
        <f t="shared" si="423"/>
        <v>131.85895299604721</v>
      </c>
      <c r="I474" s="1">
        <f t="shared" si="423"/>
        <v>144.8205856094043</v>
      </c>
      <c r="J474" s="1">
        <f>J468/J480*1000</f>
        <v>140.33777234186843</v>
      </c>
      <c r="K474" s="1">
        <f>K468/K480*1000</f>
        <v>127.54319620253163</v>
      </c>
    </row>
    <row r="475" spans="2:30">
      <c r="C475" s="1" t="s">
        <v>208</v>
      </c>
      <c r="F475" s="2"/>
      <c r="G475" s="2">
        <v>134.19999999999999</v>
      </c>
      <c r="H475" s="2">
        <v>135.69999999999999</v>
      </c>
      <c r="I475" s="2">
        <v>149.5</v>
      </c>
      <c r="J475" s="2">
        <v>156.69999999999999</v>
      </c>
      <c r="K475" s="2">
        <v>136.9</v>
      </c>
      <c r="Z475" s="2">
        <v>144</v>
      </c>
      <c r="AB475" s="2">
        <v>155.4</v>
      </c>
      <c r="AD475" s="2">
        <v>133.80000000000001</v>
      </c>
    </row>
    <row r="476" spans="2:30">
      <c r="C476" s="1" t="s">
        <v>209</v>
      </c>
      <c r="F476" s="2"/>
      <c r="G476" s="2">
        <v>129.30000000000001</v>
      </c>
      <c r="H476" s="2">
        <v>136.5</v>
      </c>
      <c r="I476" s="2">
        <v>153</v>
      </c>
      <c r="J476" s="2">
        <v>147.1</v>
      </c>
      <c r="K476" s="2">
        <v>128.19999999999999</v>
      </c>
      <c r="Z476" s="2">
        <v>149.30000000000001</v>
      </c>
      <c r="AB476" s="2">
        <v>143.6</v>
      </c>
      <c r="AD476" s="2">
        <v>126.7</v>
      </c>
    </row>
    <row r="477" spans="2:30">
      <c r="C477" s="1" t="s">
        <v>212</v>
      </c>
      <c r="F477" s="2"/>
      <c r="G477" s="2">
        <v>91.9</v>
      </c>
      <c r="H477" s="2">
        <v>94.2</v>
      </c>
      <c r="I477" s="2">
        <v>106.1</v>
      </c>
      <c r="J477" s="2">
        <v>109.8</v>
      </c>
      <c r="K477" s="2">
        <v>113.2</v>
      </c>
      <c r="Z477" s="2">
        <v>104.1</v>
      </c>
      <c r="AB477" s="2">
        <v>104.9</v>
      </c>
      <c r="AD477" s="2">
        <v>110.9</v>
      </c>
    </row>
    <row r="478" spans="2:30">
      <c r="C478" s="1" t="s">
        <v>213</v>
      </c>
      <c r="F478" s="2"/>
      <c r="G478" s="2">
        <v>148.4</v>
      </c>
      <c r="H478" s="2">
        <v>161</v>
      </c>
      <c r="I478" s="2">
        <v>172.3</v>
      </c>
      <c r="J478" s="2">
        <v>151.9</v>
      </c>
      <c r="K478" s="2">
        <v>146</v>
      </c>
      <c r="Z478" s="2">
        <v>159.5</v>
      </c>
      <c r="AB478" s="2">
        <v>142.69999999999999</v>
      </c>
      <c r="AD478" s="2">
        <v>139.4</v>
      </c>
    </row>
    <row r="480" spans="2:30">
      <c r="B480" s="1" t="s">
        <v>240</v>
      </c>
      <c r="G480" s="1">
        <f t="shared" ref="G480:I480" si="424">G481+G482+G483+G484</f>
        <v>37031.34777004717</v>
      </c>
      <c r="H480" s="1">
        <f t="shared" si="424"/>
        <v>45554.836160272476</v>
      </c>
      <c r="I480" s="1">
        <f t="shared" si="424"/>
        <v>52686.073377571847</v>
      </c>
      <c r="J480" s="1">
        <f>J481+J482+J483+J484</f>
        <v>84650.716637147372</v>
      </c>
      <c r="K480" s="1">
        <f>K481+K482+K483+K484</f>
        <v>115656</v>
      </c>
    </row>
    <row r="481" spans="2:30">
      <c r="C481" s="1" t="s">
        <v>208</v>
      </c>
      <c r="G481" s="1">
        <f t="shared" ref="G481:J484" si="425">G469*1000/G475</f>
        <v>15251.207153502237</v>
      </c>
      <c r="H481" s="1">
        <f t="shared" si="425"/>
        <v>14236.985998526161</v>
      </c>
      <c r="I481" s="1">
        <f t="shared" si="425"/>
        <v>14093.464882943144</v>
      </c>
      <c r="J481" s="1">
        <f>J469*1000/J475</f>
        <v>17791.410338225909</v>
      </c>
      <c r="K481" s="3">
        <f>AVERAGE(J431:K431)*K$2</f>
        <v>25437</v>
      </c>
    </row>
    <row r="482" spans="2:30">
      <c r="C482" s="1" t="s">
        <v>209</v>
      </c>
      <c r="G482" s="1">
        <f t="shared" si="425"/>
        <v>17776.419180201083</v>
      </c>
      <c r="H482" s="1">
        <f t="shared" si="425"/>
        <v>22556.593406593405</v>
      </c>
      <c r="I482" s="1">
        <f t="shared" si="425"/>
        <v>25841.065359477125</v>
      </c>
      <c r="J482" s="1">
        <f t="shared" si="425"/>
        <v>40035.268524813051</v>
      </c>
      <c r="K482" s="3">
        <f t="shared" ref="K482:K484" si="426">AVERAGE(J432:K432)*K$2</f>
        <v>49593</v>
      </c>
    </row>
    <row r="483" spans="2:30">
      <c r="C483" s="1" t="s">
        <v>212</v>
      </c>
      <c r="G483" s="1">
        <f t="shared" si="425"/>
        <v>2543.721436343852</v>
      </c>
      <c r="H483" s="1">
        <f t="shared" si="425"/>
        <v>6207.8343949044583</v>
      </c>
      <c r="I483" s="1">
        <f t="shared" si="425"/>
        <v>9482.1583411875599</v>
      </c>
      <c r="J483" s="1">
        <f t="shared" si="425"/>
        <v>20712.12204007286</v>
      </c>
      <c r="K483" s="3">
        <f t="shared" si="426"/>
        <v>31110</v>
      </c>
    </row>
    <row r="484" spans="2:30">
      <c r="C484" s="1" t="s">
        <v>213</v>
      </c>
      <c r="G484" s="1">
        <f t="shared" si="425"/>
        <v>1460</v>
      </c>
      <c r="H484" s="1">
        <f t="shared" si="425"/>
        <v>2553.4223602484471</v>
      </c>
      <c r="I484" s="1">
        <f t="shared" si="425"/>
        <v>3269.3847939640159</v>
      </c>
      <c r="J484" s="1">
        <f t="shared" si="425"/>
        <v>6111.9157340355496</v>
      </c>
      <c r="K484" s="3">
        <f t="shared" si="426"/>
        <v>9516</v>
      </c>
    </row>
    <row r="486" spans="2:30">
      <c r="B486" s="1" t="s">
        <v>241</v>
      </c>
    </row>
    <row r="487" spans="2:30" s="47" customFormat="1">
      <c r="C487" s="47" t="s">
        <v>208</v>
      </c>
      <c r="F487" s="48"/>
      <c r="G487" s="48">
        <v>3.9</v>
      </c>
      <c r="H487" s="48">
        <v>4.3</v>
      </c>
      <c r="I487" s="48"/>
      <c r="J487" s="48">
        <v>5.2</v>
      </c>
      <c r="K487" s="48">
        <v>4.9000000000000004</v>
      </c>
      <c r="Z487" s="48">
        <v>4.7</v>
      </c>
      <c r="AB487" s="48">
        <v>5.0999999999999996</v>
      </c>
      <c r="AD487" s="48">
        <v>4.7</v>
      </c>
    </row>
    <row r="488" spans="2:30" s="47" customFormat="1">
      <c r="C488" s="47" t="s">
        <v>209</v>
      </c>
      <c r="F488" s="48"/>
      <c r="G488" s="48">
        <v>4.0999999999999996</v>
      </c>
      <c r="H488" s="48">
        <v>4.8</v>
      </c>
      <c r="I488" s="48"/>
      <c r="J488" s="48">
        <v>5.4</v>
      </c>
      <c r="K488" s="48">
        <v>5.0999999999999996</v>
      </c>
      <c r="Z488" s="48">
        <v>5.3</v>
      </c>
      <c r="AB488" s="48">
        <v>5.2</v>
      </c>
      <c r="AD488" s="48">
        <v>5</v>
      </c>
    </row>
    <row r="489" spans="2:30" s="47" customFormat="1">
      <c r="C489" s="47" t="s">
        <v>212</v>
      </c>
      <c r="F489" s="48"/>
      <c r="G489" s="48">
        <v>3.4</v>
      </c>
      <c r="H489" s="48">
        <v>4.0999999999999996</v>
      </c>
      <c r="I489" s="48"/>
      <c r="J489" s="48">
        <v>4.9000000000000004</v>
      </c>
      <c r="K489" s="48">
        <v>4.9000000000000004</v>
      </c>
      <c r="Z489" s="48">
        <v>4.7</v>
      </c>
      <c r="AB489" s="48">
        <v>4.7</v>
      </c>
      <c r="AD489" s="48">
        <v>4.8</v>
      </c>
    </row>
    <row r="490" spans="2:30" s="47" customFormat="1">
      <c r="C490" s="47" t="s">
        <v>213</v>
      </c>
      <c r="F490" s="48"/>
      <c r="G490" s="48">
        <v>4.4000000000000004</v>
      </c>
      <c r="H490" s="48">
        <v>5</v>
      </c>
      <c r="I490" s="48"/>
      <c r="J490" s="48">
        <v>4</v>
      </c>
      <c r="K490" s="48">
        <v>4</v>
      </c>
      <c r="Z490" s="48">
        <v>4.5</v>
      </c>
      <c r="AB490" s="48">
        <v>3.9</v>
      </c>
      <c r="AD490" s="48">
        <v>3.9</v>
      </c>
    </row>
    <row r="492" spans="2:30" s="6" customFormat="1" ht="19">
      <c r="B492" s="57" t="s">
        <v>244</v>
      </c>
    </row>
    <row r="493" spans="2:30" s="25" customFormat="1">
      <c r="B493" s="25" t="s">
        <v>245</v>
      </c>
      <c r="D493" s="58"/>
      <c r="G493" s="59">
        <f t="shared" ref="G493:K497" si="427">G443/G468-1</f>
        <v>0.14073318757578512</v>
      </c>
      <c r="H493" s="59">
        <f t="shared" si="427"/>
        <v>0.1398194017359955</v>
      </c>
      <c r="I493" s="59">
        <f t="shared" si="427"/>
        <v>6.2450360601560062E-2</v>
      </c>
      <c r="J493" s="59">
        <f t="shared" si="427"/>
        <v>1.5656717728311564E-2</v>
      </c>
      <c r="K493" s="59">
        <f t="shared" si="427"/>
        <v>-0.17715268964473441</v>
      </c>
      <c r="Z493" s="59">
        <f>Z443/Z468-1</f>
        <v>6.4244217540880832E-2</v>
      </c>
      <c r="AB493" s="59">
        <f>AB443/AB468-1</f>
        <v>4.7221432932061269E-2</v>
      </c>
    </row>
    <row r="494" spans="2:30" s="25" customFormat="1">
      <c r="C494" s="25" t="s">
        <v>208</v>
      </c>
      <c r="G494" s="59">
        <f t="shared" si="427"/>
        <v>0.10908129722208093</v>
      </c>
      <c r="H494" s="59">
        <f t="shared" si="427"/>
        <v>0.12684068347206123</v>
      </c>
      <c r="I494" s="59">
        <f t="shared" si="427"/>
        <v>0.11704374000046514</v>
      </c>
      <c r="J494" s="59">
        <f t="shared" si="427"/>
        <v>-1.567121510921865E-3</v>
      </c>
      <c r="K494" s="59">
        <f t="shared" si="427"/>
        <v>-0.23301680058436813</v>
      </c>
      <c r="Z494" s="59">
        <f>Z444/Z469-1</f>
        <v>0.12239110014404297</v>
      </c>
      <c r="AB494" s="59">
        <f>AB444/AB469-1</f>
        <v>3.3223247577001125E-2</v>
      </c>
      <c r="AD494" s="60">
        <f>AD450/AD475-1</f>
        <v>-0.27279521674140517</v>
      </c>
    </row>
    <row r="495" spans="2:30" s="25" customFormat="1">
      <c r="C495" s="25" t="s">
        <v>209</v>
      </c>
      <c r="G495" s="59">
        <f t="shared" si="427"/>
        <v>0.16559560163602982</v>
      </c>
      <c r="H495" s="59">
        <f t="shared" si="427"/>
        <v>0.14508009970850688</v>
      </c>
      <c r="I495" s="59">
        <f t="shared" si="427"/>
        <v>4.3190867856628845E-2</v>
      </c>
      <c r="J495" s="59">
        <f t="shared" si="427"/>
        <v>-1.8724313097153611E-2</v>
      </c>
      <c r="K495" s="59">
        <f t="shared" si="427"/>
        <v>-0.16926677067082685</v>
      </c>
      <c r="Z495" s="59">
        <f>Z445/Z470-1</f>
        <v>4.1754637364960656E-2</v>
      </c>
      <c r="AB495" s="59">
        <f>AB445/AB470-1</f>
        <v>1.8911002579013347E-2</v>
      </c>
      <c r="AD495" s="60">
        <f t="shared" ref="AD495:AD497" si="428">AD451/AD476-1</f>
        <v>-0.20994475138121549</v>
      </c>
    </row>
    <row r="496" spans="2:30" s="25" customFormat="1">
      <c r="C496" s="25" t="s">
        <v>212</v>
      </c>
      <c r="G496" s="59">
        <f t="shared" si="427"/>
        <v>0.12237774203483776</v>
      </c>
      <c r="H496" s="59">
        <f t="shared" si="427"/>
        <v>0.16308753065265802</v>
      </c>
      <c r="I496" s="59">
        <f t="shared" si="427"/>
        <v>0.10642637544393607</v>
      </c>
      <c r="J496" s="59">
        <f t="shared" si="427"/>
        <v>8.3413398434872166E-2</v>
      </c>
      <c r="K496" s="59">
        <f t="shared" si="427"/>
        <v>-0.10335689045936403</v>
      </c>
      <c r="Z496" s="59">
        <f>Z446/Z471-1</f>
        <v>6.3418688610476837E-2</v>
      </c>
      <c r="AB496" s="59">
        <f>AB446/AB471-1</f>
        <v>0.12469886439277733</v>
      </c>
      <c r="AD496" s="60">
        <f t="shared" si="428"/>
        <v>-0.13345356176735812</v>
      </c>
    </row>
    <row r="497" spans="2:30" s="25" customFormat="1">
      <c r="C497" s="25" t="s">
        <v>213</v>
      </c>
      <c r="G497" s="59">
        <f t="shared" si="427"/>
        <v>0.19578240962965721</v>
      </c>
      <c r="H497" s="59">
        <f t="shared" si="427"/>
        <v>0.12831396664080108</v>
      </c>
      <c r="I497" s="59">
        <f t="shared" si="427"/>
        <v>-8.5110462174804669E-2</v>
      </c>
      <c r="J497" s="59">
        <f t="shared" si="427"/>
        <v>0.11949482981473492</v>
      </c>
      <c r="K497" s="59">
        <f t="shared" si="427"/>
        <v>-0.26027397260273966</v>
      </c>
      <c r="Z497" s="59">
        <f>Z447/Z472-1</f>
        <v>-2.8251624774367268E-2</v>
      </c>
      <c r="AB497" s="59">
        <f>AB447/AB472-1</f>
        <v>9.6788230418566101E-2</v>
      </c>
      <c r="AD497" s="60">
        <f t="shared" si="428"/>
        <v>-0.30559540889526549</v>
      </c>
    </row>
    <row r="498" spans="2:30" s="25" customFormat="1"/>
    <row r="499" spans="2:30" s="25" customFormat="1">
      <c r="B499" s="25" t="s">
        <v>246</v>
      </c>
    </row>
    <row r="500" spans="2:30" s="25" customFormat="1">
      <c r="C500" s="25" t="s">
        <v>208</v>
      </c>
      <c r="G500" s="59">
        <f t="shared" ref="G500:H503" si="429">G462/G487-1</f>
        <v>0.10256410256410264</v>
      </c>
      <c r="H500" s="59">
        <f t="shared" si="429"/>
        <v>0.11627906976744184</v>
      </c>
      <c r="I500" s="59"/>
      <c r="J500" s="59">
        <f t="shared" ref="J500:K503" si="430">J462/J487-1</f>
        <v>-1.9230769230769384E-2</v>
      </c>
      <c r="K500" s="59">
        <f t="shared" si="430"/>
        <v>-0.24489795918367352</v>
      </c>
      <c r="Z500" s="59">
        <f>Z462/Z487-1</f>
        <v>8.5106382978723305E-2</v>
      </c>
      <c r="AB500" s="59">
        <f>AB462/AB487-1</f>
        <v>0</v>
      </c>
      <c r="AD500" s="59">
        <f>AD462/AD487-1</f>
        <v>-0.27659574468085113</v>
      </c>
    </row>
    <row r="501" spans="2:30" s="25" customFormat="1">
      <c r="C501" s="25" t="s">
        <v>209</v>
      </c>
      <c r="G501" s="59">
        <f t="shared" si="429"/>
        <v>0.17073170731707332</v>
      </c>
      <c r="H501" s="59">
        <f t="shared" si="429"/>
        <v>0.10416666666666674</v>
      </c>
      <c r="I501" s="59"/>
      <c r="J501" s="59">
        <f t="shared" si="430"/>
        <v>-1.8518518518518601E-2</v>
      </c>
      <c r="K501" s="59">
        <f t="shared" si="430"/>
        <v>-0.19607843137254899</v>
      </c>
      <c r="Z501" s="59">
        <f>Z463/Z488-1</f>
        <v>0</v>
      </c>
      <c r="AB501" s="59">
        <f>AB463/AB488-1</f>
        <v>1.9230769230769162E-2</v>
      </c>
      <c r="AD501" s="59">
        <f>AD463/AD488-1</f>
        <v>-0.24</v>
      </c>
    </row>
    <row r="502" spans="2:30" s="25" customFormat="1">
      <c r="C502" s="25" t="s">
        <v>212</v>
      </c>
      <c r="G502" s="59">
        <f t="shared" si="429"/>
        <v>0.11764705882352944</v>
      </c>
      <c r="H502" s="59">
        <f t="shared" si="429"/>
        <v>0.14634146341463428</v>
      </c>
      <c r="I502" s="59"/>
      <c r="J502" s="59">
        <f t="shared" si="430"/>
        <v>6.1224489795918435E-2</v>
      </c>
      <c r="K502" s="59">
        <f t="shared" si="430"/>
        <v>-0.12244897959183687</v>
      </c>
      <c r="Z502" s="59">
        <f>Z464/Z489-1</f>
        <v>6.3829787234042534E-2</v>
      </c>
      <c r="AB502" s="59">
        <f>AB464/AB489-1</f>
        <v>8.5106382978723305E-2</v>
      </c>
      <c r="AD502" s="59">
        <f>AD464/AD489-1</f>
        <v>-0.14583333333333337</v>
      </c>
    </row>
    <row r="503" spans="2:30" s="25" customFormat="1">
      <c r="C503" s="25" t="s">
        <v>213</v>
      </c>
      <c r="G503" s="59">
        <f t="shared" si="429"/>
        <v>0.18181818181818166</v>
      </c>
      <c r="H503" s="59">
        <f t="shared" si="429"/>
        <v>2.0000000000000018E-2</v>
      </c>
      <c r="I503" s="59"/>
      <c r="J503" s="59">
        <f t="shared" si="430"/>
        <v>0.10000000000000009</v>
      </c>
      <c r="K503" s="59">
        <f t="shared" si="430"/>
        <v>-0.25</v>
      </c>
      <c r="Z503" s="59">
        <f>Z465/Z490-1</f>
        <v>0</v>
      </c>
      <c r="AB503" s="59">
        <f>AB465/AB490-1</f>
        <v>0.10256410256410264</v>
      </c>
      <c r="AD503" s="59">
        <f>AD465/AD490-1</f>
        <v>-0.3076923076923076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使用说明</vt:lpstr>
      <vt:lpstr>海底捞model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 Yu Fei</dc:creator>
  <cp:lastModifiedBy>Qiu Yu Fei</cp:lastModifiedBy>
  <dcterms:created xsi:type="dcterms:W3CDTF">2021-03-28T05:19:52Z</dcterms:created>
  <dcterms:modified xsi:type="dcterms:W3CDTF">2021-03-28T06:54:24Z</dcterms:modified>
</cp:coreProperties>
</file>